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3C8B10E-5A6C-447B-9B92-A26EEB4CA509}" xr6:coauthVersionLast="36" xr6:coauthVersionMax="36" xr10:uidLastSave="{00000000-0000-0000-0000-000000000000}"/>
  <bookViews>
    <workbookView xWindow="0" yWindow="60" windowWidth="22260" windowHeight="12585" tabRatio="935" xr2:uid="{00000000-000D-0000-FFFF-FFFF00000000}"/>
  </bookViews>
  <sheets>
    <sheet name="1 вырав.район 21г" sheetId="45" r:id="rId1"/>
    <sheet name="2 вырав.район 22г." sheetId="46" r:id="rId2"/>
    <sheet name="3 вырав.район 23г." sheetId="47" r:id="rId3"/>
    <sheet name="4 вырав.поселения" sheetId="48" r:id="rId4"/>
    <sheet name="5 ЗАТО" sheetId="49" r:id="rId5"/>
    <sheet name="6 сбалансир.1ч." sheetId="50" r:id="rId6"/>
    <sheet name="7 газеты" sheetId="23" r:id="rId7"/>
    <sheet name="8 историч. посел." sheetId="53" r:id="rId8"/>
    <sheet name="9 подвоз уч-ся" sheetId="16" r:id="rId9"/>
    <sheet name="10 гор.питание" sheetId="15" r:id="rId10"/>
    <sheet name="11 з-п пед. раб." sheetId="51" r:id="rId11"/>
    <sheet name="12 каникул. время" sheetId="3" r:id="rId12"/>
    <sheet name="13 соц.проекты" sheetId="19" r:id="rId13"/>
    <sheet name="14 перевозки" sheetId="18" r:id="rId14"/>
    <sheet name="15 водный трансп." sheetId="25" r:id="rId15"/>
    <sheet name="16 воинск.славы" sheetId="17" r:id="rId16"/>
    <sheet name="17 ремонт дорог" sheetId="22" r:id="rId17"/>
    <sheet name="18 ремонт дворовых тер." sheetId="21" r:id="rId18"/>
    <sheet name="19 безопасн.дор.движ" sheetId="20" r:id="rId19"/>
    <sheet name="20 з-п раб.культуры" sheetId="44" r:id="rId20"/>
    <sheet name="21 кадастр.работы" sheetId="7" r:id="rId21"/>
    <sheet name="22 ремонт гитех.сооруж." sheetId="26" r:id="rId22"/>
    <sheet name="23 дошкол." sheetId="55" r:id="rId23"/>
    <sheet name="24 общее образ." sheetId="54" r:id="rId24"/>
    <sheet name="25 классное руков." sheetId="39" r:id="rId25"/>
    <sheet name="26 несовершеннолет." sheetId="11" r:id="rId26"/>
    <sheet name="27 родит.плата" sheetId="40" r:id="rId27"/>
    <sheet name="28 дорож.деятельность" sheetId="14" r:id="rId28"/>
    <sheet name="29 перепись" sheetId="9" r:id="rId29"/>
    <sheet name="30 комп.ЖКУ пед.раб." sheetId="27" r:id="rId30"/>
    <sheet name="31 жилье сиротам" sheetId="41" r:id="rId31"/>
    <sheet name="32 адм.комис." sheetId="12" r:id="rId32"/>
    <sheet name="33 присяжные засед." sheetId="24" r:id="rId33"/>
    <sheet name="34 воинский учет" sheetId="13" r:id="rId34"/>
    <sheet name="35 ЗАГС" sheetId="42" r:id="rId35"/>
    <sheet name="36 агломерации" sheetId="8" r:id="rId36"/>
    <sheet name="37 интелект.трансп.системы" sheetId="43" r:id="rId37"/>
    <sheet name="38 статус г .Твери" sheetId="56" r:id="rId38"/>
  </sheets>
  <definedNames>
    <definedName name="_xlnm._FilterDatabase" localSheetId="0" hidden="1">'1 вырав.район 21г'!$A$7:$E$7</definedName>
    <definedName name="_xlnm._FilterDatabase" localSheetId="9" hidden="1">'10 гор.питание'!$A$7:$E$7</definedName>
    <definedName name="_xlnm._FilterDatabase" localSheetId="10" hidden="1">'11 з-п пед. раб.'!$A$6:$E$6</definedName>
    <definedName name="_xlnm._FilterDatabase" localSheetId="11" hidden="1">'12 каникул. время'!$A$7:$E$7</definedName>
    <definedName name="_xlnm._FilterDatabase" localSheetId="12" hidden="1">'13 соц.проекты'!$A$7:$E$7</definedName>
    <definedName name="_xlnm._FilterDatabase" localSheetId="1" hidden="1">'2 вырав.район 22г.'!$A$6:$E$6</definedName>
    <definedName name="_xlnm._FilterDatabase" localSheetId="19" hidden="1">'20 з-п раб.культуры'!$A$6:$A$6</definedName>
    <definedName name="_xlnm._FilterDatabase" localSheetId="24" hidden="1">'25 классное руков.'!$A$7:$E$7</definedName>
    <definedName name="_xlnm._FilterDatabase" localSheetId="26" hidden="1">'27 родит.плата'!$A$7:$E$7</definedName>
    <definedName name="_xlnm._FilterDatabase" localSheetId="2" hidden="1">'3 вырав.район 23г.'!$A$6:$E$6</definedName>
    <definedName name="_xlnm._FilterDatabase" localSheetId="31" hidden="1">'32 адм.комис.'!#REF!</definedName>
    <definedName name="_xlnm._FilterDatabase" localSheetId="34" hidden="1">'35 ЗАГС'!$A$6:$F$47</definedName>
    <definedName name="_xlnm._FilterDatabase" localSheetId="3" hidden="1">'4 вырав.поселения'!$A$5:$D$221</definedName>
    <definedName name="_xlnm._FilterDatabase" localSheetId="8" hidden="1">'9 подвоз уч-ся'!#REF!</definedName>
    <definedName name="_xlnm.Print_Titles" localSheetId="18">'19 безопасн.дор.движ'!$6:$6</definedName>
    <definedName name="_xlnm.Print_Titles" localSheetId="21">'22 ремонт гитех.сооруж.'!$7:$7</definedName>
    <definedName name="_xlnm.Print_Titles" localSheetId="22">'23 дошкол.'!$7:$7</definedName>
    <definedName name="_xlnm.Print_Titles" localSheetId="23">'24 общее образ.'!$7:$7</definedName>
    <definedName name="_xlnm.Print_Titles" localSheetId="25">'26 несовершеннолет.'!$6:$6</definedName>
    <definedName name="_xlnm.Print_Titles" localSheetId="26">'27 родит.плата'!$6:$6</definedName>
    <definedName name="_xlnm.Print_Titles" localSheetId="27">'28 дорож.деятельность'!$9:$9</definedName>
    <definedName name="_xlnm.Print_Titles" localSheetId="28">'29 перепись'!$5:$5</definedName>
    <definedName name="_xlnm.Print_Titles" localSheetId="29">'30 комп.ЖКУ пед.раб.'!$6:$6</definedName>
    <definedName name="_xlnm.Print_Titles" localSheetId="30">'31 жилье сиротам'!$8:$8</definedName>
    <definedName name="_xlnm.Print_Titles" localSheetId="31">'32 адм.комис.'!$6:$6</definedName>
    <definedName name="_xlnm.Print_Titles" localSheetId="33">'34 воинский учет'!$6:$6</definedName>
    <definedName name="_xlnm.Print_Titles" localSheetId="3">'4 вырав.поселения'!$6:$6</definedName>
    <definedName name="_xlnm.Print_Titles" localSheetId="5">'6 сбалансир.1ч.'!$6:$6</definedName>
    <definedName name="_xlnm.Print_Area" localSheetId="0">'1 вырав.район 21г'!$A$1:$E$50</definedName>
    <definedName name="_xlnm.Print_Area" localSheetId="9">'10 гор.питание'!$A$1:$E$49</definedName>
    <definedName name="_xlnm.Print_Area" localSheetId="10">'11 з-п пед. раб.'!$A$1:$E$49</definedName>
    <definedName name="_xlnm.Print_Area" localSheetId="11">'12 каникул. время'!$A$1:$E$49</definedName>
    <definedName name="_xlnm.Print_Area" localSheetId="12">'13 соц.проекты'!$A$1:$E$49</definedName>
    <definedName name="_xlnm.Print_Area" localSheetId="13">'14 перевозки'!$A$1:$E$40</definedName>
    <definedName name="_xlnm.Print_Area" localSheetId="15">'16 воинск.славы'!$A$1:$E$10</definedName>
    <definedName name="_xlnm.Print_Area" localSheetId="1">'2 вырав.район 22г.'!$A$1:$E$50</definedName>
    <definedName name="_xlnm.Print_Area" localSheetId="19">'20 з-п раб.культуры'!$A$1:$E$49</definedName>
    <definedName name="_xlnm.Print_Area" localSheetId="20">'21 кадастр.работы'!$A$1:$E$16</definedName>
    <definedName name="_xlnm.Print_Area" localSheetId="21">'22 ремонт гитех.сооруж.'!$A$2:$E$10</definedName>
    <definedName name="_xlnm.Print_Area" localSheetId="22">'23 дошкол.'!$A$1:$K$52</definedName>
    <definedName name="_xlnm.Print_Area" localSheetId="23">'24 общее образ.'!$A$1:$K$52</definedName>
    <definedName name="_xlnm.Print_Area" localSheetId="24">'25 классное руков.'!$A$1:$E$51</definedName>
    <definedName name="_xlnm.Print_Area" localSheetId="26">'27 родит.плата'!$A$1:$E$49</definedName>
    <definedName name="_xlnm.Print_Area" localSheetId="27">'28 дорож.деятельность'!$A$1:$E$62</definedName>
    <definedName name="_xlnm.Print_Area" localSheetId="28">'29 перепись'!$A$1:$C$48</definedName>
    <definedName name="_xlnm.Print_Area" localSheetId="2">'3 вырав.район 23г.'!$A$1:$E$50</definedName>
    <definedName name="_xlnm.Print_Area" localSheetId="30">'31 жилье сиротам'!$A$1:$K$54</definedName>
    <definedName name="_xlnm.Print_Area" localSheetId="31">'32 адм.комис.'!$A$1:$E$240</definedName>
    <definedName name="_xlnm.Print_Area" localSheetId="32">'33 присяжные засед.'!$A$1:$E$45</definedName>
    <definedName name="_xlnm.Print_Area" localSheetId="33">'34 воинский учет'!$A$1:$E$224</definedName>
    <definedName name="_xlnm.Print_Area" localSheetId="34">'35 ЗАГС'!$B$1:$F$47</definedName>
    <definedName name="_xlnm.Print_Area" localSheetId="35">'36 агломерации'!$A$1:$E$10</definedName>
    <definedName name="_xlnm.Print_Area" localSheetId="36">'37 интелект.трансп.системы'!$A$1:$E$10</definedName>
    <definedName name="_xlnm.Print_Area" localSheetId="37">'38 статус г .Твери'!$A$1:$E$9</definedName>
    <definedName name="_xlnm.Print_Area" localSheetId="3">'4 вырав.поселения'!$A$1:$E$221</definedName>
    <definedName name="_xlnm.Print_Area" localSheetId="5">'6 сбалансир.1ч.'!$A$1:$C$49</definedName>
    <definedName name="_xlnm.Print_Area" localSheetId="6">'7 газеты'!$A$1:$E$47</definedName>
    <definedName name="_xlnm.Print_Area" localSheetId="7">'8 историч. посел.'!$A$1:$E$10</definedName>
    <definedName name="_xlnm.Print_Area" localSheetId="8">'9 подвоз уч-ся'!$A$1:$E$43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2" l="1"/>
  <c r="D50" i="22"/>
  <c r="C50" i="22"/>
  <c r="E49" i="39" l="1"/>
  <c r="E51" i="39" s="1"/>
  <c r="C49" i="39"/>
  <c r="C51" i="39" s="1"/>
  <c r="D49" i="39"/>
  <c r="D51" i="39" s="1"/>
  <c r="E8" i="56" l="1"/>
  <c r="D8" i="56"/>
  <c r="C8" i="56"/>
  <c r="C49" i="51" l="1"/>
  <c r="E48" i="51"/>
  <c r="D48" i="51"/>
  <c r="E47" i="51"/>
  <c r="D47" i="51"/>
  <c r="E46" i="51"/>
  <c r="D46" i="51"/>
  <c r="E45" i="51"/>
  <c r="D45" i="51"/>
  <c r="E44" i="51"/>
  <c r="D44" i="51"/>
  <c r="E43" i="51"/>
  <c r="D43" i="51"/>
  <c r="E42" i="51"/>
  <c r="D42" i="51"/>
  <c r="E41" i="51"/>
  <c r="D41" i="51"/>
  <c r="E40" i="51"/>
  <c r="D40" i="51"/>
  <c r="E39" i="51"/>
  <c r="D39" i="51"/>
  <c r="E38" i="51"/>
  <c r="D38" i="51"/>
  <c r="E37" i="51"/>
  <c r="D37" i="51"/>
  <c r="E36" i="51"/>
  <c r="D36" i="51"/>
  <c r="E35" i="51"/>
  <c r="D35" i="51"/>
  <c r="E34" i="51"/>
  <c r="D34" i="51"/>
  <c r="E33" i="51"/>
  <c r="D33" i="51"/>
  <c r="E32" i="51"/>
  <c r="D32" i="51"/>
  <c r="E31" i="51"/>
  <c r="D31" i="51"/>
  <c r="E30" i="51"/>
  <c r="D30" i="51"/>
  <c r="E29" i="51"/>
  <c r="D29" i="51"/>
  <c r="E28" i="51"/>
  <c r="D28" i="51"/>
  <c r="E27" i="51"/>
  <c r="D27" i="51"/>
  <c r="E26" i="51"/>
  <c r="D26" i="51"/>
  <c r="E25" i="51"/>
  <c r="D25" i="51"/>
  <c r="E24" i="51"/>
  <c r="D24" i="51"/>
  <c r="E23" i="51"/>
  <c r="D23" i="51"/>
  <c r="E22" i="51"/>
  <c r="D22" i="51"/>
  <c r="E21" i="51"/>
  <c r="D21" i="51"/>
  <c r="E20" i="51"/>
  <c r="D20" i="51"/>
  <c r="E19" i="51"/>
  <c r="D19" i="51"/>
  <c r="E18" i="51"/>
  <c r="D18" i="51"/>
  <c r="E17" i="51"/>
  <c r="D17" i="51"/>
  <c r="E16" i="51"/>
  <c r="D16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9" i="51"/>
  <c r="D9" i="51"/>
  <c r="E8" i="51"/>
  <c r="D8" i="51"/>
  <c r="E7" i="51"/>
  <c r="E49" i="51" s="1"/>
  <c r="D7" i="51"/>
  <c r="D49" i="51" s="1"/>
  <c r="K50" i="55" l="1"/>
  <c r="K52" i="55" s="1"/>
  <c r="J50" i="55"/>
  <c r="J52" i="55" s="1"/>
  <c r="I50" i="55"/>
  <c r="I52" i="55" s="1"/>
  <c r="H50" i="55"/>
  <c r="H52" i="55" s="1"/>
  <c r="G50" i="55"/>
  <c r="G52" i="55" s="1"/>
  <c r="F50" i="55"/>
  <c r="F52" i="55" s="1"/>
  <c r="E50" i="55"/>
  <c r="E52" i="55" s="1"/>
  <c r="D50" i="55"/>
  <c r="D52" i="55" s="1"/>
  <c r="C50" i="55"/>
  <c r="C52" i="55" s="1"/>
  <c r="K50" i="54" l="1"/>
  <c r="K52" i="54" s="1"/>
  <c r="J50" i="54"/>
  <c r="J52" i="54" s="1"/>
  <c r="I50" i="54"/>
  <c r="I52" i="54" s="1"/>
  <c r="H50" i="54"/>
  <c r="H52" i="54" s="1"/>
  <c r="G50" i="54"/>
  <c r="G52" i="54" s="1"/>
  <c r="F50" i="54"/>
  <c r="F52" i="54" s="1"/>
  <c r="E50" i="54"/>
  <c r="E52" i="54" s="1"/>
  <c r="D50" i="54"/>
  <c r="D52" i="54" s="1"/>
  <c r="C50" i="54"/>
  <c r="C52" i="54" s="1"/>
  <c r="E9" i="53" l="1"/>
  <c r="D9" i="53"/>
  <c r="C9" i="53"/>
  <c r="D9" i="43" l="1"/>
  <c r="C9" i="43"/>
  <c r="D9" i="8"/>
  <c r="E9" i="8"/>
  <c r="C9" i="8"/>
  <c r="E49" i="21" l="1"/>
  <c r="D49" i="21"/>
  <c r="C49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C49" i="50" l="1"/>
  <c r="E10" i="49"/>
  <c r="D10" i="49"/>
  <c r="C10" i="49"/>
  <c r="E49" i="44" l="1"/>
  <c r="D49" i="44"/>
  <c r="C49" i="44"/>
  <c r="F46" i="42"/>
  <c r="E46" i="42"/>
  <c r="D46" i="42"/>
  <c r="F45" i="42"/>
  <c r="E45" i="42"/>
  <c r="D45" i="42"/>
  <c r="F44" i="42"/>
  <c r="E44" i="42"/>
  <c r="D44" i="42"/>
  <c r="F43" i="42"/>
  <c r="E43" i="42"/>
  <c r="D43" i="42"/>
  <c r="F42" i="42"/>
  <c r="E42" i="42"/>
  <c r="D42" i="42"/>
  <c r="F41" i="42"/>
  <c r="E41" i="42"/>
  <c r="D41" i="42"/>
  <c r="F40" i="42"/>
  <c r="E40" i="42"/>
  <c r="D40" i="42"/>
  <c r="F39" i="42"/>
  <c r="E39" i="42"/>
  <c r="D39" i="42"/>
  <c r="F38" i="42"/>
  <c r="E38" i="42"/>
  <c r="D38" i="42"/>
  <c r="F37" i="42"/>
  <c r="E37" i="42"/>
  <c r="D37" i="42"/>
  <c r="F36" i="42"/>
  <c r="E36" i="42"/>
  <c r="D36" i="42"/>
  <c r="F35" i="42"/>
  <c r="E35" i="42"/>
  <c r="D35" i="42"/>
  <c r="F34" i="42"/>
  <c r="E34" i="42"/>
  <c r="D34" i="42"/>
  <c r="F33" i="42"/>
  <c r="E33" i="42"/>
  <c r="D33" i="42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B8" i="42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F7" i="42"/>
  <c r="E7" i="42"/>
  <c r="D7" i="42"/>
  <c r="K51" i="41"/>
  <c r="K53" i="41" s="1"/>
  <c r="J51" i="41"/>
  <c r="J52" i="41" s="1"/>
  <c r="I52" i="41" s="1"/>
  <c r="H51" i="41"/>
  <c r="H53" i="41" s="1"/>
  <c r="F53" i="41" s="1"/>
  <c r="G51" i="41"/>
  <c r="G52" i="41" s="1"/>
  <c r="F52" i="41" s="1"/>
  <c r="E51" i="41"/>
  <c r="E53" i="41" s="1"/>
  <c r="D51" i="41"/>
  <c r="D52" i="41" s="1"/>
  <c r="C52" i="41" s="1"/>
  <c r="I50" i="41"/>
  <c r="F50" i="41"/>
  <c r="C50" i="41"/>
  <c r="I49" i="41"/>
  <c r="F49" i="41"/>
  <c r="C49" i="41"/>
  <c r="I48" i="41"/>
  <c r="F48" i="41"/>
  <c r="C48" i="41"/>
  <c r="I47" i="41"/>
  <c r="F47" i="41"/>
  <c r="C47" i="41"/>
  <c r="I46" i="41"/>
  <c r="F46" i="41"/>
  <c r="C46" i="41"/>
  <c r="I45" i="41"/>
  <c r="F45" i="41"/>
  <c r="C45" i="41"/>
  <c r="I44" i="41"/>
  <c r="F44" i="41"/>
  <c r="C44" i="41"/>
  <c r="I43" i="41"/>
  <c r="F43" i="41"/>
  <c r="C43" i="41"/>
  <c r="I42" i="41"/>
  <c r="F42" i="41"/>
  <c r="C42" i="41"/>
  <c r="I41" i="41"/>
  <c r="F41" i="41"/>
  <c r="C41" i="41"/>
  <c r="I40" i="41"/>
  <c r="F40" i="41"/>
  <c r="C40" i="41"/>
  <c r="I39" i="41"/>
  <c r="F39" i="41"/>
  <c r="C39" i="41"/>
  <c r="I38" i="41"/>
  <c r="F38" i="41"/>
  <c r="C38" i="41"/>
  <c r="I37" i="41"/>
  <c r="F37" i="41"/>
  <c r="C37" i="41"/>
  <c r="I36" i="41"/>
  <c r="F36" i="41"/>
  <c r="C36" i="41"/>
  <c r="I35" i="41"/>
  <c r="F35" i="41"/>
  <c r="C35" i="41"/>
  <c r="I34" i="41"/>
  <c r="F34" i="41"/>
  <c r="C34" i="41"/>
  <c r="I33" i="41"/>
  <c r="F33" i="41"/>
  <c r="C33" i="41"/>
  <c r="I32" i="41"/>
  <c r="F32" i="41"/>
  <c r="C32" i="41"/>
  <c r="I31" i="41"/>
  <c r="F31" i="41"/>
  <c r="C31" i="41"/>
  <c r="I30" i="41"/>
  <c r="F30" i="41"/>
  <c r="C30" i="41"/>
  <c r="I29" i="41"/>
  <c r="F29" i="41"/>
  <c r="C29" i="41"/>
  <c r="I28" i="41"/>
  <c r="F28" i="41"/>
  <c r="C28" i="41"/>
  <c r="I27" i="41"/>
  <c r="F27" i="41"/>
  <c r="C27" i="41"/>
  <c r="I26" i="41"/>
  <c r="F26" i="41"/>
  <c r="C26" i="41"/>
  <c r="I25" i="41"/>
  <c r="F25" i="41"/>
  <c r="C25" i="41"/>
  <c r="I24" i="41"/>
  <c r="F24" i="41"/>
  <c r="C24" i="41"/>
  <c r="I23" i="41"/>
  <c r="F23" i="41"/>
  <c r="C23" i="41"/>
  <c r="I22" i="41"/>
  <c r="F22" i="41"/>
  <c r="C22" i="41"/>
  <c r="I21" i="41"/>
  <c r="F21" i="41"/>
  <c r="C21" i="41"/>
  <c r="I20" i="41"/>
  <c r="F20" i="41"/>
  <c r="C20" i="41"/>
  <c r="I19" i="41"/>
  <c r="F19" i="41"/>
  <c r="C19" i="41"/>
  <c r="I18" i="41"/>
  <c r="F18" i="41"/>
  <c r="C18" i="41"/>
  <c r="I17" i="41"/>
  <c r="F17" i="41"/>
  <c r="C17" i="41"/>
  <c r="I16" i="41"/>
  <c r="F16" i="41"/>
  <c r="C16" i="41"/>
  <c r="I15" i="41"/>
  <c r="F15" i="41"/>
  <c r="C15" i="41"/>
  <c r="I14" i="41"/>
  <c r="F14" i="41"/>
  <c r="C14" i="41"/>
  <c r="I13" i="41"/>
  <c r="F13" i="41"/>
  <c r="C13" i="41"/>
  <c r="I12" i="41"/>
  <c r="F12" i="41"/>
  <c r="C12" i="41"/>
  <c r="I11" i="41"/>
  <c r="F11" i="41"/>
  <c r="C11" i="41"/>
  <c r="I10" i="41"/>
  <c r="F10" i="41"/>
  <c r="C10" i="41"/>
  <c r="I9" i="41"/>
  <c r="F9" i="41"/>
  <c r="C9" i="41"/>
  <c r="D47" i="42" l="1"/>
  <c r="C51" i="41"/>
  <c r="C53" i="41" s="1"/>
  <c r="E47" i="42"/>
  <c r="F47" i="42"/>
  <c r="F51" i="41"/>
  <c r="I51" i="41"/>
  <c r="I53" i="41" s="1"/>
  <c r="E49" i="27"/>
  <c r="D49" i="27"/>
  <c r="C49" i="27"/>
  <c r="D7" i="40" l="1"/>
  <c r="E7" i="40"/>
  <c r="D8" i="40"/>
  <c r="E8" i="40"/>
  <c r="D9" i="40"/>
  <c r="E9" i="40"/>
  <c r="D10" i="40"/>
  <c r="E10" i="40"/>
  <c r="D11" i="40"/>
  <c r="E11" i="40"/>
  <c r="D12" i="40"/>
  <c r="E12" i="40"/>
  <c r="D13" i="40"/>
  <c r="E13" i="40"/>
  <c r="D14" i="40"/>
  <c r="E14" i="40"/>
  <c r="D15" i="40"/>
  <c r="E15" i="40"/>
  <c r="D16" i="40"/>
  <c r="E16" i="40"/>
  <c r="D17" i="40"/>
  <c r="E17" i="40"/>
  <c r="D18" i="40"/>
  <c r="E18" i="40"/>
  <c r="D19" i="40"/>
  <c r="E19" i="40"/>
  <c r="D20" i="40"/>
  <c r="E20" i="40"/>
  <c r="D21" i="40"/>
  <c r="E21" i="40"/>
  <c r="D22" i="40"/>
  <c r="E22" i="40"/>
  <c r="D23" i="40"/>
  <c r="E23" i="40"/>
  <c r="D24" i="40"/>
  <c r="E24" i="40"/>
  <c r="D25" i="40"/>
  <c r="E25" i="40"/>
  <c r="D26" i="40"/>
  <c r="E26" i="40"/>
  <c r="D27" i="40"/>
  <c r="E27" i="40"/>
  <c r="D28" i="40"/>
  <c r="E28" i="40"/>
  <c r="D29" i="40"/>
  <c r="E29" i="40"/>
  <c r="D30" i="40"/>
  <c r="E30" i="40"/>
  <c r="D31" i="40"/>
  <c r="E31" i="40"/>
  <c r="D32" i="40"/>
  <c r="E32" i="40"/>
  <c r="D33" i="40"/>
  <c r="E33" i="40"/>
  <c r="D34" i="40"/>
  <c r="E34" i="40"/>
  <c r="D35" i="40"/>
  <c r="E35" i="40"/>
  <c r="D36" i="40"/>
  <c r="E36" i="40"/>
  <c r="D37" i="40"/>
  <c r="E37" i="40"/>
  <c r="D38" i="40"/>
  <c r="E38" i="40"/>
  <c r="D39" i="40"/>
  <c r="E39" i="40"/>
  <c r="D40" i="40"/>
  <c r="E40" i="40"/>
  <c r="D41" i="40"/>
  <c r="E41" i="40"/>
  <c r="D42" i="40"/>
  <c r="E42" i="40"/>
  <c r="D43" i="40"/>
  <c r="E43" i="40"/>
  <c r="D44" i="40"/>
  <c r="E44" i="40"/>
  <c r="D45" i="40"/>
  <c r="E45" i="40"/>
  <c r="D46" i="40"/>
  <c r="E46" i="40"/>
  <c r="D47" i="40"/>
  <c r="E47" i="40"/>
  <c r="D48" i="40"/>
  <c r="E48" i="40"/>
  <c r="C49" i="40"/>
  <c r="D49" i="40" l="1"/>
  <c r="E49" i="40"/>
  <c r="E10" i="26" l="1"/>
  <c r="D10" i="26"/>
  <c r="C10" i="26"/>
  <c r="E9" i="25"/>
  <c r="D9" i="25"/>
  <c r="C9" i="25"/>
  <c r="E45" i="24"/>
  <c r="D45" i="24"/>
  <c r="C45" i="24"/>
  <c r="E47" i="23"/>
  <c r="D47" i="23"/>
  <c r="C47" i="23"/>
  <c r="E49" i="20"/>
  <c r="D49" i="20"/>
  <c r="C49" i="20"/>
  <c r="C49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D49" i="19" s="1"/>
  <c r="E49" i="19" l="1"/>
  <c r="E40" i="18"/>
  <c r="D40" i="18"/>
  <c r="C40" i="18"/>
  <c r="A32" i="18"/>
  <c r="D9" i="17" l="1"/>
  <c r="E9" i="17"/>
  <c r="C9" i="17"/>
  <c r="C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D43" i="16" s="1"/>
  <c r="E43" i="16" l="1"/>
  <c r="E62" i="14"/>
  <c r="D62" i="14"/>
  <c r="C62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216" i="13" l="1"/>
  <c r="D216" i="13"/>
  <c r="C216" i="13"/>
  <c r="E206" i="13"/>
  <c r="D206" i="13"/>
  <c r="C206" i="13"/>
  <c r="E191" i="13"/>
  <c r="D191" i="13"/>
  <c r="C191" i="13"/>
  <c r="E181" i="13"/>
  <c r="D181" i="13"/>
  <c r="C181" i="13"/>
  <c r="E175" i="13"/>
  <c r="D175" i="13"/>
  <c r="C175" i="13"/>
  <c r="E166" i="13"/>
  <c r="D166" i="13"/>
  <c r="C166" i="13"/>
  <c r="E158" i="13"/>
  <c r="D158" i="13"/>
  <c r="C158" i="13"/>
  <c r="E146" i="13"/>
  <c r="D146" i="13"/>
  <c r="C146" i="13"/>
  <c r="E142" i="13"/>
  <c r="D142" i="13"/>
  <c r="C142" i="13"/>
  <c r="E138" i="13"/>
  <c r="D138" i="13"/>
  <c r="C138" i="13"/>
  <c r="E130" i="13"/>
  <c r="D130" i="13"/>
  <c r="C130" i="13"/>
  <c r="E124" i="13"/>
  <c r="D124" i="13"/>
  <c r="C124" i="13"/>
  <c r="E108" i="13"/>
  <c r="D108" i="13"/>
  <c r="C108" i="13"/>
  <c r="E93" i="13"/>
  <c r="D93" i="13"/>
  <c r="C93" i="13"/>
  <c r="E85" i="13"/>
  <c r="D85" i="13"/>
  <c r="C85" i="13"/>
  <c r="E79" i="13"/>
  <c r="D79" i="13"/>
  <c r="C79" i="13"/>
  <c r="E60" i="13"/>
  <c r="D60" i="13"/>
  <c r="C60" i="13"/>
  <c r="E51" i="13"/>
  <c r="D51" i="13"/>
  <c r="C51" i="13"/>
  <c r="E46" i="13"/>
  <c r="D46" i="13"/>
  <c r="C46" i="13"/>
  <c r="E35" i="13"/>
  <c r="D35" i="13"/>
  <c r="C35" i="13"/>
  <c r="E27" i="13"/>
  <c r="D27" i="13"/>
  <c r="C27" i="13"/>
  <c r="E14" i="13"/>
  <c r="D14" i="13"/>
  <c r="C14" i="13"/>
  <c r="E224" i="13" l="1"/>
  <c r="C224" i="13"/>
  <c r="D224" i="13"/>
  <c r="E240" i="12"/>
  <c r="D240" i="12"/>
  <c r="C240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E49" i="11"/>
  <c r="D49" i="11"/>
  <c r="C49" i="11"/>
  <c r="A46" i="11"/>
  <c r="A42" i="11"/>
  <c r="A43" i="11" s="1"/>
  <c r="A39" i="11"/>
  <c r="A35" i="11"/>
  <c r="A31" i="11"/>
  <c r="A32" i="11" s="1"/>
  <c r="A28" i="11"/>
  <c r="A24" i="11"/>
  <c r="A21" i="11"/>
  <c r="A17" i="11"/>
  <c r="A13" i="11"/>
  <c r="A9" i="11"/>
  <c r="A10" i="11" s="1"/>
  <c r="C48" i="9"/>
  <c r="E16" i="7"/>
  <c r="D16" i="7"/>
  <c r="C16" i="7"/>
  <c r="C49" i="3" l="1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E49" i="3" s="1"/>
  <c r="D7" i="3"/>
  <c r="D49" i="3" l="1"/>
</calcChain>
</file>

<file path=xl/sharedStrings.xml><?xml version="1.0" encoding="utf-8"?>
<sst xmlns="http://schemas.openxmlformats.org/spreadsheetml/2006/main" count="2251" uniqueCount="484">
  <si>
    <t>№ п/п</t>
  </si>
  <si>
    <t>Наименование муниципальных образований</t>
  </si>
  <si>
    <t>Сумма, тыс. руб.</t>
  </si>
  <si>
    <t>2021 год</t>
  </si>
  <si>
    <t>плановый период</t>
  </si>
  <si>
    <t>2022 год</t>
  </si>
  <si>
    <t>2023 год</t>
  </si>
  <si>
    <t>г. Кимры</t>
  </si>
  <si>
    <t>г. Ржев</t>
  </si>
  <si>
    <t>г. Тверь</t>
  </si>
  <si>
    <t>г. Торжок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</si>
  <si>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</si>
  <si>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</si>
  <si>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</si>
  <si>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</si>
  <si>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</si>
  <si>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муниципальный округ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</si>
  <si>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</si>
  <si>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</si>
  <si>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</si>
  <si>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</si>
  <si>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</si>
  <si>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</si>
  <si>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</si>
  <si>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</si>
  <si>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</si>
  <si>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</si>
  <si>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</si>
  <si>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</si>
  <si>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</si>
  <si>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</si>
  <si>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</si>
  <si>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</si>
  <si>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</si>
  <si>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</si>
  <si>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</si>
  <si>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</si>
  <si>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</si>
  <si>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</si>
  <si>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</si>
  <si>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</si>
  <si>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</si>
  <si>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</si>
  <si>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</si>
  <si>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</si>
  <si>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</si>
  <si>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</si>
  <si>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</si>
  <si>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</si>
  <si>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</si>
  <si>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Таблица 8</t>
  </si>
  <si>
    <t>№
п/п</t>
  </si>
  <si>
    <t>Наименование 
муниципальных образований</t>
  </si>
  <si>
    <t>1</t>
  </si>
  <si>
    <t>2</t>
  </si>
  <si>
    <t>3</t>
  </si>
  <si>
    <t>Лесной  муниципальный округ</t>
  </si>
  <si>
    <t>Оленинский  муниципальный округ</t>
  </si>
  <si>
    <t/>
  </si>
  <si>
    <t>Таблица 19</t>
  </si>
  <si>
    <t xml:space="preserve">Иные межбюджетные трансферты,
предоставляемые местным бюджетам на выполнение работ в городских агломерациях, 
на 2021 год и на плановый период 2022 и 2023 годов  </t>
  </si>
  <si>
    <t xml:space="preserve"> </t>
  </si>
  <si>
    <t>№
 п/п</t>
  </si>
  <si>
    <t xml:space="preserve">Наименование 
муниципальных образований </t>
  </si>
  <si>
    <t xml:space="preserve">2023 год </t>
  </si>
  <si>
    <t>Итого</t>
  </si>
  <si>
    <t>Субвенции местным бюджетам на осуществление государственных полномочий 
по государственной регистрации актов гражданского состояния 
на 2021 год  и на плановый период 2022 и 2023 годов</t>
  </si>
  <si>
    <t>Пеновский  муниципальный округ</t>
  </si>
  <si>
    <t>Сандовский  муниципальный округ</t>
  </si>
  <si>
    <t>Селижаровский  муниципальный округ</t>
  </si>
  <si>
    <t>Наименование 
муниципального образования</t>
  </si>
  <si>
    <t>Сумма, тыс.руб.</t>
  </si>
  <si>
    <t>Западнодвинский  муниципальный округ</t>
  </si>
  <si>
    <t xml:space="preserve">Бежецкий район </t>
  </si>
  <si>
    <t>г.Бежецк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</si>
  <si>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</si>
  <si>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</si>
  <si>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</si>
  <si>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</si>
  <si>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</si>
  <si>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</si>
  <si>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</si>
  <si>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</si>
  <si>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</si>
  <si>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</si>
  <si>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Фралёвское сельское поселение</t>
  </si>
  <si>
    <t>Шишковское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</si>
  <si>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</si>
  <si>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</si>
  <si>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</si>
  <si>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</si>
  <si>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</si>
  <si>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</si>
  <si>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</si>
  <si>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 xml:space="preserve">Бологовский район </t>
  </si>
  <si>
    <t>г. Бологое (городское поселение)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</si>
  <si>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</si>
  <si>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</si>
  <si>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</si>
  <si>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</si>
  <si>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</si>
  <si>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</si>
  <si>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</si>
  <si>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</si>
  <si>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</si>
  <si>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</si>
  <si>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 xml:space="preserve">Жарковский район 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</si>
  <si>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</si>
  <si>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</si>
  <si>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</si>
  <si>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</si>
  <si>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 xml:space="preserve">Зубцовский район 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</si>
  <si>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</si>
  <si>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</si>
  <si>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</si>
  <si>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</si>
  <si>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</si>
  <si>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</si>
  <si>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</si>
  <si>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</si>
  <si>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 xml:space="preserve">Калининский район 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</si>
  <si>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</si>
  <si>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</si>
  <si>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</si>
  <si>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</si>
  <si>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</si>
  <si>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</si>
  <si>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</si>
  <si>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</si>
  <si>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</si>
  <si>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</si>
  <si>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</si>
  <si>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</si>
  <si>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</si>
  <si>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</si>
  <si>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</si>
  <si>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</si>
  <si>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</si>
  <si>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</si>
  <si>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 xml:space="preserve">Калязинский район 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</si>
  <si>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</si>
  <si>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</si>
  <si>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</si>
  <si>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</si>
  <si>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</si>
  <si>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 xml:space="preserve">Кесовогорский район 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</si>
  <si>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</si>
  <si>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</si>
  <si>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</si>
  <si>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</si>
  <si>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</si>
  <si>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</si>
  <si>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</si>
  <si>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</si>
  <si>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</si>
  <si>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</si>
  <si>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Ильинское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</si>
  <si>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</si>
  <si>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</si>
  <si>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</si>
  <si>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</si>
  <si>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</si>
  <si>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</si>
  <si>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</si>
  <si>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</si>
  <si>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</si>
  <si>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</si>
  <si>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 xml:space="preserve">Конаковский район 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</si>
  <si>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</si>
  <si>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</si>
  <si>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</si>
  <si>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</si>
  <si>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</si>
  <si>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</si>
  <si>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</si>
  <si>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</si>
  <si>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</si>
  <si>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</si>
  <si>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</si>
  <si>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</si>
  <si>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</si>
  <si>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</si>
  <si>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Старомелковское сельское поселение</t>
  </si>
  <si>
    <t>Юрьево-Девичьевское сельское поселение</t>
  </si>
  <si>
    <t xml:space="preserve">Кувшиновский район 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</si>
  <si>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</si>
  <si>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</si>
  <si>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</si>
  <si>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</si>
  <si>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</si>
  <si>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 xml:space="preserve">Лихославльский район </t>
  </si>
  <si>
    <t>г. Лихославль (городское поселение)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</si>
  <si>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</si>
  <si>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</si>
  <si>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</si>
  <si>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</si>
  <si>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</si>
  <si>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</si>
  <si>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</si>
  <si>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</si>
  <si>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</si>
  <si>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</si>
  <si>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</si>
  <si>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 xml:space="preserve">Молоковский район 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</si>
  <si>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</si>
  <si>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</si>
  <si>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</si>
  <si>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 xml:space="preserve">Рамешковский район </t>
  </si>
  <si>
    <t>пос. Рамешки (городское поселение)</t>
  </si>
  <si>
    <t>сельское поселение Алёшино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</si>
  <si>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</si>
  <si>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</si>
  <si>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</si>
  <si>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</si>
  <si>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</si>
  <si>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</si>
  <si>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</si>
  <si>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</si>
  <si>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</si>
  <si>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 xml:space="preserve">Ржевский район 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</si>
  <si>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</si>
  <si>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</si>
  <si>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</si>
  <si>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</si>
  <si>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</si>
  <si>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</si>
  <si>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</si>
  <si>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 xml:space="preserve">Сонковский район 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</si>
  <si>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</si>
  <si>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</si>
  <si>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</si>
  <si>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</si>
  <si>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</si>
  <si>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</si>
  <si>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</si>
  <si>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</si>
  <si>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 xml:space="preserve">Спировский район 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</si>
  <si>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</si>
  <si>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</si>
  <si>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</si>
  <si>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</si>
  <si>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</si>
  <si>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 xml:space="preserve">Старицкий район 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</si>
  <si>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</si>
  <si>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</si>
  <si>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</si>
  <si>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</si>
  <si>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</si>
  <si>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</si>
  <si>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</si>
  <si>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сельское поселение "Луковниково"</t>
  </si>
  <si>
    <t>Степуринское сельское поселение</t>
  </si>
  <si>
    <t xml:space="preserve">Торжокский район 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</si>
  <si>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</si>
  <si>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</si>
  <si>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</si>
  <si>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</si>
  <si>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</si>
  <si>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</si>
  <si>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</si>
  <si>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</si>
  <si>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</si>
  <si>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</si>
  <si>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</si>
  <si>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</si>
  <si>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</si>
  <si>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</si>
  <si>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 xml:space="preserve">Торопецкий район 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</si>
  <si>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</si>
  <si>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</si>
  <si>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</si>
  <si>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</si>
  <si>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</si>
  <si>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</si>
  <si>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</si>
  <si>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</si>
  <si>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</si>
  <si>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 xml:space="preserve">Фировский район </t>
  </si>
  <si>
    <t>Великооктябрьское городское поселение</t>
  </si>
  <si>
    <t>Фировское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</si>
  <si>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</si>
  <si>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</si>
  <si>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</si>
  <si>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 xml:space="preserve">Бельский район </t>
  </si>
  <si>
    <t>Куженкинское (городское поселение)</t>
  </si>
  <si>
    <t xml:space="preserve">Кимрский район </t>
  </si>
  <si>
    <t>Сельское поселение "Завидово"</t>
  </si>
  <si>
    <t xml:space="preserve">Максатихинский район </t>
  </si>
  <si>
    <t>Сельское поселение Алёшино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</si>
  <si>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</si>
  <si>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</si>
  <si>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</si>
  <si>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</si>
  <si>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</si>
  <si>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</si>
  <si>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</si>
  <si>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</si>
  <si>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</si>
  <si>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</si>
  <si>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</si>
  <si>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</si>
  <si>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</si>
  <si>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</si>
  <si>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</si>
  <si>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</si>
  <si>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"Паньково"</t>
  </si>
  <si>
    <t>Сельское поселение "станция Старица"</t>
  </si>
  <si>
    <t>Сельское поселение "Луковниково"</t>
  </si>
  <si>
    <t>Будовское сельское поселение</t>
  </si>
  <si>
    <t>Великооктябрьское (городское поселение)</t>
  </si>
  <si>
    <t>Фировское (городское поселение)</t>
  </si>
  <si>
    <t xml:space="preserve">ЗАТО "Озерный" </t>
  </si>
  <si>
    <t>Итого по городским и муниципальным округам, городским и сельским поселениям</t>
  </si>
  <si>
    <t>Субвенции местным бюджетам на осуществление отдельных государственных полномочий 
Тверской области в сфере осуществления дорожной деятельности 
на 2021 год и на плановый период 2022 и 2023 годов</t>
  </si>
  <si>
    <t xml:space="preserve">Cумма, тыс.руб.  </t>
  </si>
  <si>
    <t>Бологовский 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</si>
  <si>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</si>
  <si>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</si>
  <si>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</si>
  <si>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Каблуковское сельское поселение Калининского района</t>
  </si>
  <si>
    <t>Эммаусское сельское поселение Калининского района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</si>
  <si>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</si>
  <si>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</si>
  <si>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</si>
  <si>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</si>
  <si>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</si>
  <si>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</si>
  <si>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</si>
  <si>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</si>
  <si>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</si>
  <si>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</si>
  <si>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</si>
  <si>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Субсидии местным бюджетам на капитальный ремонт и ремонт улично-дорожной сети
на 2021 год и на плановый период 2022 и 2023 годов</t>
  </si>
  <si>
    <t xml:space="preserve">№ </t>
  </si>
  <si>
    <t>Кашинский  городской округ</t>
  </si>
  <si>
    <t>Андреапольский муниципальных округ</t>
  </si>
  <si>
    <t xml:space="preserve">ЗАТО "Солнечный" </t>
  </si>
  <si>
    <t>Нелидовский  городской округ</t>
  </si>
  <si>
    <t>Таблица 33</t>
  </si>
  <si>
    <t>Таблица 32</t>
  </si>
  <si>
    <t>Таблица 31</t>
  </si>
  <si>
    <t>Таблица 30</t>
  </si>
  <si>
    <t>Таблица 29</t>
  </si>
  <si>
    <t>Таблица 28</t>
  </si>
  <si>
    <t>Таблица 26</t>
  </si>
  <si>
    <t>Таблица 25</t>
  </si>
  <si>
    <t>Таблица 18</t>
  </si>
  <si>
    <t>Таблица 17</t>
  </si>
  <si>
    <t>Таблица 15</t>
  </si>
  <si>
    <t>Таблица 14</t>
  </si>
  <si>
    <t>Таблица 13</t>
  </si>
  <si>
    <t>Таблица 12</t>
  </si>
  <si>
    <t>Таблица 11</t>
  </si>
  <si>
    <t>Таблица 9</t>
  </si>
  <si>
    <t>Таблица 6</t>
  </si>
  <si>
    <t>ЗАТО «Озерный»</t>
  </si>
  <si>
    <t>ЗАТО «Солнечный»</t>
  </si>
  <si>
    <t>(тыс.руб.)</t>
  </si>
  <si>
    <t xml:space="preserve">Расчет дотации
(по методике) </t>
  </si>
  <si>
    <t>Размер дотации
из областного 
   бюджета</t>
  </si>
  <si>
    <t>Таблица 1</t>
  </si>
  <si>
    <t>Нераспределенный остаток</t>
  </si>
  <si>
    <t>Таблица 2</t>
  </si>
  <si>
    <t>Таблица 3</t>
  </si>
  <si>
    <t>Размер первой части дотации</t>
  </si>
  <si>
    <t>№ 
п/п</t>
  </si>
  <si>
    <t>(тыс. руб.)</t>
  </si>
  <si>
    <t xml:space="preserve">Распределение первой части дотаций местным бюджетам на поддержку мер по обеспечению сбалансированности местных бюджетов на 2021 год </t>
  </si>
  <si>
    <t xml:space="preserve"> 2021 год</t>
  </si>
  <si>
    <t xml:space="preserve"> 2023 год</t>
  </si>
  <si>
    <t>г. Бежецк (городское поселение)</t>
  </si>
  <si>
    <t>городское поселение город Бологое</t>
  </si>
  <si>
    <t>пос.Рамешки (городское поселение)</t>
  </si>
  <si>
    <t>Сельское поселение «Итомля»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</si>
  <si>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</si>
  <si>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</si>
  <si>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</si>
  <si>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</si>
  <si>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</si>
  <si>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</si>
  <si>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</si>
  <si>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</si>
  <si>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</si>
  <si>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</si>
  <si>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Сельское поселение «Луковниково»</t>
  </si>
  <si>
    <t>Сельское поселение «Паньково»</t>
  </si>
  <si>
    <t>Сельское поселение «станция Старица»</t>
  </si>
  <si>
    <t>Таблица 7</t>
  </si>
  <si>
    <t>Таблица 16</t>
  </si>
  <si>
    <t>Таблица 20</t>
  </si>
  <si>
    <t>Таблица 21</t>
  </si>
  <si>
    <t>ВСЕГО</t>
  </si>
  <si>
    <t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
на 2021 год и на плановый период 2022 и 2023 годов</t>
  </si>
  <si>
    <t>Таблица 27</t>
  </si>
  <si>
    <t>Субвенции бюджетам муниципальных районов и городских округов на осуществление государственных полномочий 
по обеспечению благоустроенными жилыми помещениями специализированного жилищного фонда детей-сирот, 
детей, оставшихся без попечения родителей, лиц из их числа по договорам найма специализированных жилых помещений 
на 2021 год и на плановый период 2022 и 2023 годов</t>
  </si>
  <si>
    <t>ВСЕГО
 (тыс.руб.)</t>
  </si>
  <si>
    <t>в том числе</t>
  </si>
  <si>
    <t xml:space="preserve">в рамках соглашения о предоставлении субсидии из федерального бюджета </t>
  </si>
  <si>
    <t>без
 привлечения средств федерального бюджета</t>
  </si>
  <si>
    <t>без 
привлечения средств федерального бюджета</t>
  </si>
  <si>
    <t>Субвенции местным бюджетам на осуществление отдельных государственных полномочий Тверской области по созданию административных   комиссий и определению перечня должностных лиц,  уполномоченных составлять протоколы об административных правонарушениях, 
на 2021 год и на плановый период 2022 и 2023 годов</t>
  </si>
  <si>
    <t>Субвенции бюджетам муниципальных образований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
на 2021 год и на плановый период 2022 и 2023 годов</t>
  </si>
  <si>
    <t>Таблица 34</t>
  </si>
  <si>
    <t>Таблица 35</t>
  </si>
  <si>
    <t>Таблица 36</t>
  </si>
  <si>
    <t>Таблица 5</t>
  </si>
  <si>
    <t xml:space="preserve">Сумма отчислений
от налога на доходы
физических лиц </t>
  </si>
  <si>
    <t>Сумма отчислений
от налога на доходы
физических лиц</t>
  </si>
  <si>
    <t>Распределение дотаций, связанных с особым режимом безопасного функционирования закрытых административно-территориальных образований на 2021 год и на плановый период 2022 и 2023 годов</t>
  </si>
  <si>
    <t xml:space="preserve">  г. Кимры</t>
  </si>
  <si>
    <t xml:space="preserve">  г. Ржев</t>
  </si>
  <si>
    <t xml:space="preserve">  г. Тверь</t>
  </si>
  <si>
    <t xml:space="preserve">  г. Торжок</t>
  </si>
  <si>
    <t>Краснохолмский  муниципальный округ</t>
  </si>
  <si>
    <t>Бельский  район</t>
  </si>
  <si>
    <t>Жарковский  район</t>
  </si>
  <si>
    <t>Зубцовский  район</t>
  </si>
  <si>
    <t>Калининский  район</t>
  </si>
  <si>
    <t>Калязинский  район</t>
  </si>
  <si>
    <t>Кесовогорский  район</t>
  </si>
  <si>
    <t>Кимрский  район</t>
  </si>
  <si>
    <t>Конаковский  район</t>
  </si>
  <si>
    <t>Кувшиновский  район</t>
  </si>
  <si>
    <t>Лихославльский  район</t>
  </si>
  <si>
    <t>Максатихинский  район</t>
  </si>
  <si>
    <t>Молоковский  район</t>
  </si>
  <si>
    <t>Рамешковский  район</t>
  </si>
  <si>
    <t>Ржевский  район</t>
  </si>
  <si>
    <t>Сонковский  район</t>
  </si>
  <si>
    <t>Спировский  район</t>
  </si>
  <si>
    <t>Старицкий  район</t>
  </si>
  <si>
    <t>Торжокский  район</t>
  </si>
  <si>
    <t>Торопецкий  район</t>
  </si>
  <si>
    <t>Фировский  район</t>
  </si>
  <si>
    <t>Таблица 10</t>
  </si>
  <si>
    <t>Сумма 
на 2021 год, 
тыс. руб.</t>
  </si>
  <si>
    <t>Распределение дотаций на выравнивание бюджетной обеспеченности 
поселений (внутригородских районов) Тверской области 
на 2021 год и на плановый период 2022 и 2023 годов</t>
  </si>
  <si>
    <t>Субвенции бюджетам муниципальных районов и городских округов 
на осуществление государственных полномочий Тверской области 
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образования,
на 2021 год и на плановый период 2022 и 2023 годов</t>
  </si>
  <si>
    <r>
      <t>Приложение 20</t>
    </r>
    <r>
      <rPr>
        <sz val="14"/>
        <rFont val="Times New Roman"/>
        <family val="1"/>
        <charset val="204"/>
      </rPr>
      <t xml:space="preserve">
к закону Тверской области
 «Об областном бюджете Тверской области на 2021 год 
и на плановый период 2022 и 2023 годов»</t>
    </r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</si>
  <si>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 на 2021 год</t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</si>
  <si>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 на 2022 год</t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</si>
  <si>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 на 2023 год</t>
  </si>
  <si>
    <r>
      <t>Таблица 4</t>
    </r>
    <r>
      <rPr>
        <sz val="14"/>
        <rFont val="Times New Roman"/>
        <family val="1"/>
        <charset val="204"/>
      </rPr>
      <t xml:space="preserve">
</t>
    </r>
  </si>
  <si>
    <r>
      <t xml:space="preserve">Сельское поселение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Завидово</t>
    </r>
    <r>
      <rPr>
        <sz val="14"/>
        <rFont val="Calibri"/>
        <family val="2"/>
        <charset val="204"/>
      </rPr>
      <t>»</t>
    </r>
  </si>
  <si>
    <r>
      <t xml:space="preserve">Сельское поселение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Есинка</t>
    </r>
    <r>
      <rPr>
        <sz val="14"/>
        <rFont val="Calibri"/>
        <family val="2"/>
        <charset val="204"/>
      </rPr>
      <t>»</t>
    </r>
  </si>
  <si>
    <t xml:space="preserve">Субсидий местным бюджетам 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
на 2021 год и на плановый период 2022 и 2023 годов
</t>
  </si>
  <si>
    <t xml:space="preserve">
Субсидии местным бюджетам на поддержку социальных маршрутов внутреннего водного транспорта 
на 2021 год и на плановый период 2022 и 2023 годов
</t>
  </si>
  <si>
    <t>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 
на 2021 год и на плановый период 2022 и 2023 годов</t>
  </si>
  <si>
    <t>Субсидии местным бюджетам на осуществление капитального ремонта гидротехнических сооружений, находящихся в муниципальной собственности в рамках реализации мероприятий федеральной целевой программы "Развитие водохозяйственного комплекса Российской Федерации в 2012 - 2020 годах"
на 2021 год и на плановый период 2022 и 2023 годов</t>
  </si>
  <si>
    <t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
на 2021 год и на плановый период 2022 и 2023 годов</t>
  </si>
  <si>
    <t xml:space="preserve">Субсидии местным бюджетам на комплексное развитие территории и инфраструктуры малых исторических поселений на 2021 год и на плановый период 2022 и 2023 годов  </t>
  </si>
  <si>
    <t>Субсидий местным бюджетам на организацию участия детей и подростков в социально значимых региональных проектах 
на 2021 год и на плановый период 2022 и 2023 годов</t>
  </si>
  <si>
    <t>Субсидии местным бюджетам на повышение заработной платы работникам муниципальных учреждений культуры Тверской области 
на 2021 год и на плановый период 2022 и 2023 годов</t>
  </si>
  <si>
    <t>Таблица 22</t>
  </si>
  <si>
    <t>Таблица 37</t>
  </si>
  <si>
    <t>Субсидии местным бюджетам на поддержку редакций районных и городских газет 
на 2021 год и на плановый период 2022 и 2023 годов</t>
  </si>
  <si>
    <t>Субсидий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
на 2021 год и на плановый период 2022 и 2023 годов</t>
  </si>
  <si>
    <t>Субсидии местным бюджетам на повышение заработной платы педагогическим работникам муниципальных организаций дополнительного образования 
на 2021 год и на плановый период 2022 и 2023 годов</t>
  </si>
  <si>
    <t xml:space="preserve">Субсидии местным бюджетам на организацию отдыха детей в каникулярное время 
на 2021 год и на плановый период 2022 и 2023 годов
</t>
  </si>
  <si>
    <t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
на 2021 год и на плановый период 2022 и 2023 годов</t>
  </si>
  <si>
    <t>Субсидии местным бюджетам на ремонт дворовых территорий многоквартирных домов, проездов к дворовым территориям многоквартирных домов населенных пунктов 
на 2021 год и на плановый период 2022 и 2023 годов</t>
  </si>
  <si>
    <t xml:space="preserve">Субсидии местным бюджетам 
на реализацию закона Тверской области от 16.02.2009 № 7-ЗО 
«О статусе города Тверской области, удостоенного почетного звания 
Российской Федерации "Город воинской славы"
на 2021 год и на плановый период 2022 и 2023 годов
  </t>
  </si>
  <si>
    <t>Субвенции местным бюджетам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
на 2021 год и на плановый период 2022 и 2023 годов</t>
  </si>
  <si>
    <t>Субвенции местным бюджетам на осуществление первичного воинского учета на территориях, где отсутствуют военные комиссариаты, 
на 2021 год и на плановый период 2022 и 2023 годов</t>
  </si>
  <si>
    <t xml:space="preserve">Иные межбюджетные трансферты, предоставляемые местным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человек, на 2021 год и на плановый период 2022 и 2023 годов  </t>
  </si>
  <si>
    <t>Таблица 24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</si>
  <si>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
начального общего, основного общего, среднего общего образования в муниципальных общеобразовательных организациях, 
обеспечение дополнительного образования детей в муниципальных общеобразовательных организациях Тверской области 
на 2021 год и на плановый период 2022 и 2023 годов  </t>
  </si>
  <si>
    <t xml:space="preserve">(тыс. руб.) </t>
  </si>
  <si>
    <t>Всего</t>
  </si>
  <si>
    <t xml:space="preserve">заработная плата с начислениями и компенсационными выплатами
</t>
  </si>
  <si>
    <t xml:space="preserve">расходы на обеспечение образовательного процесса
</t>
  </si>
  <si>
    <t>заработная
 плата с
 начислениями и компенсационными выплатами</t>
  </si>
  <si>
    <t xml:space="preserve"> расходы на обеспечение образовательного процесса </t>
  </si>
  <si>
    <t>заработная 
плата с 
начислениями и компенсационными выплатами</t>
  </si>
  <si>
    <t>г.Кимры</t>
  </si>
  <si>
    <t>г.Ржев</t>
  </si>
  <si>
    <t>г.Тверь</t>
  </si>
  <si>
    <t>г.Торжок</t>
  </si>
  <si>
    <t>Таблица 23</t>
  </si>
  <si>
    <t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2021 год и на плановый период 2022 и 2023 годов</t>
  </si>
  <si>
    <t>Субвенции местным бюджетам на осуществление отдельных государственных полномочий по подготовке и проведению Всероссийской переписи населения 2020 года на 2021 год</t>
  </si>
  <si>
    <t xml:space="preserve">Субсидии местным бюджетам на проведение комплексных кадастровых работ 
на 2021 год и на плановый период 2022 и 2023 годов  </t>
  </si>
  <si>
    <t>Таблица 38</t>
  </si>
  <si>
    <t xml:space="preserve">Иные межбюджетные трансферты местным бюджетам
на реализацию закона Тверской области от 03.10.2002 № 70-ЗО 
"О статусе города Твери - административного центра Тверской области"
на 2021 год и на плановый период 2022 и 2023 годов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</si>
</sst>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_-* #,##0.0\ _₽_-;\-* #,##0.0\ _₽_-;_-* &quot;-&quot;??\ _₽_-;_-@_-"/>
    <numFmt numFmtId="166" formatCode="#,##0.0"/>
    <numFmt numFmtId="167" formatCode="_-* #,##0.0000\ _₽_-;\-* #,##0.0000\ _₽_-;_-* &quot;-&quot;??\ _₽_-;_-@_-"/>
    <numFmt numFmtId="168" formatCode="_-* #,##0_р_._-;\-* #,##0_р_._-;_-* &quot;-&quot;_р_._-;_-@_-"/>
    <numFmt numFmtId="169" formatCode="_-* #,##0.00_р_._-;\-* #,##0.00_р_._-;_-* &quot;-&quot;??_р_._-;_-@_-"/>
    <numFmt numFmtId="170" formatCode="_-* #,##0.0_р_._-;\-* #,##0.0_р_._-;_-* &quot;-&quot;??_р_._-;_-@_-"/>
    <numFmt numFmtId="171" formatCode="_-* #,##0.00&quot;р.&quot;_-;\-* #,##0.00&quot;р.&quot;_-;_-* &quot;-&quot;??&quot;р.&quot;_-;_-@_-"/>
    <numFmt numFmtId="172" formatCode="_-* #,##0&quot;р.&quot;_-;\-* #,##0&quot;р.&quot;_-;_-* &quot;-&quot;&quot;р.&quot;_-;_-@_-"/>
    <numFmt numFmtId="173" formatCode="#,##0.0_ ;\-#,##0.0\ "/>
    <numFmt numFmtId="174" formatCode="0.0"/>
    <numFmt numFmtId="175" formatCode="_-* #,##0.0_-;\-* #,##0.0_-;_-* &quot;-&quot;??_-;_-@_-"/>
    <numFmt numFmtId="176" formatCode="#,##0.0\ _₽;\-#,##0.0\ _₽"/>
    <numFmt numFmtId="177" formatCode="_-* #,##0.0_р_._-;\-* #,##0.0_р_._-;_-* &quot;-&quot;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 Cyr"/>
      <charset val="204"/>
    </font>
    <font>
      <b/>
      <sz val="14"/>
      <color indexed="8"/>
      <name val="Times New Roman CYR"/>
      <charset val="204"/>
    </font>
    <font>
      <b/>
      <sz val="14"/>
      <name val="Arial Cyr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9" fillId="0" borderId="0">
      <alignment vertical="top" wrapText="1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0" fillId="0" borderId="0"/>
    <xf numFmtId="0" fontId="2" fillId="0" borderId="0"/>
    <xf numFmtId="164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0">
    <xf numFmtId="0" fontId="0" fillId="0" borderId="0" xfId="0"/>
    <xf numFmtId="0" fontId="13" fillId="0" borderId="0" xfId="5" applyFont="1" applyAlignment="1">
      <alignment vertical="center"/>
    </xf>
    <xf numFmtId="0" fontId="13" fillId="0" borderId="0" xfId="6" applyFont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1" xfId="8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left" vertical="center" wrapText="1" indent="1"/>
    </xf>
    <xf numFmtId="0" fontId="13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horizontal="left" vertical="center" indent="1"/>
    </xf>
    <xf numFmtId="0" fontId="13" fillId="0" borderId="1" xfId="8" applyFont="1" applyFill="1" applyBorder="1" applyAlignment="1">
      <alignment horizontal="left" vertical="center" wrapText="1" indent="1"/>
    </xf>
    <xf numFmtId="167" fontId="13" fillId="0" borderId="0" xfId="9" applyNumberFormat="1" applyFont="1" applyAlignment="1">
      <alignment horizontal="center" vertical="center"/>
    </xf>
    <xf numFmtId="0" fontId="22" fillId="0" borderId="0" xfId="8" applyFont="1" applyAlignment="1">
      <alignment vertical="top" wrapText="1"/>
    </xf>
    <xf numFmtId="0" fontId="22" fillId="0" borderId="0" xfId="8" applyFont="1" applyFill="1" applyAlignment="1">
      <alignment vertical="top" wrapText="1"/>
    </xf>
    <xf numFmtId="0" fontId="13" fillId="0" borderId="0" xfId="8" applyFont="1" applyAlignment="1">
      <alignment horizontal="center" vertical="top" wrapText="1"/>
    </xf>
    <xf numFmtId="0" fontId="13" fillId="0" borderId="0" xfId="8" applyFont="1" applyFill="1" applyAlignment="1">
      <alignment horizontal="center" vertical="top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4" fillId="0" borderId="1" xfId="8" applyFont="1" applyBorder="1" applyAlignment="1">
      <alignment horizontal="center" vertical="center" wrapText="1"/>
    </xf>
    <xf numFmtId="170" fontId="10" fillId="0" borderId="1" xfId="19" applyNumberFormat="1" applyFont="1" applyFill="1" applyBorder="1" applyAlignment="1">
      <alignment horizontal="center" vertical="top" wrapText="1"/>
    </xf>
    <xf numFmtId="170" fontId="10" fillId="0" borderId="0" xfId="19" applyNumberFormat="1" applyFont="1" applyFill="1" applyAlignment="1">
      <alignment horizontal="center" vertical="top" wrapText="1"/>
    </xf>
    <xf numFmtId="170" fontId="10" fillId="0" borderId="0" xfId="19" applyNumberFormat="1" applyFont="1" applyAlignment="1">
      <alignment horizontal="center" vertical="top" wrapText="1"/>
    </xf>
    <xf numFmtId="0" fontId="13" fillId="0" borderId="0" xfId="8" applyFont="1" applyAlignment="1">
      <alignment horizontal="left" vertical="top" wrapText="1"/>
    </xf>
    <xf numFmtId="173" fontId="15" fillId="0" borderId="1" xfId="9" applyNumberFormat="1" applyFont="1" applyBorder="1" applyAlignment="1">
      <alignment horizontal="right" vertical="center" indent="1"/>
    </xf>
    <xf numFmtId="173" fontId="13" fillId="0" borderId="1" xfId="9" applyNumberFormat="1" applyFont="1" applyBorder="1" applyAlignment="1">
      <alignment horizontal="right" vertical="center" indent="1"/>
    </xf>
    <xf numFmtId="173" fontId="13" fillId="0" borderId="1" xfId="9" applyNumberFormat="1" applyFont="1" applyFill="1" applyBorder="1" applyAlignment="1">
      <alignment horizontal="right" vertical="center" indent="1"/>
    </xf>
    <xf numFmtId="173" fontId="16" fillId="0" borderId="1" xfId="9" applyNumberFormat="1" applyFont="1" applyBorder="1" applyAlignment="1">
      <alignment horizontal="right" vertical="center" indent="1"/>
    </xf>
    <xf numFmtId="43" fontId="13" fillId="0" borderId="0" xfId="6" applyNumberFormat="1" applyFont="1" applyAlignment="1">
      <alignment vertical="center"/>
    </xf>
    <xf numFmtId="175" fontId="13" fillId="0" borderId="0" xfId="27" applyNumberFormat="1" applyFont="1"/>
    <xf numFmtId="0" fontId="17" fillId="0" borderId="0" xfId="20" applyFont="1"/>
    <xf numFmtId="0" fontId="15" fillId="3" borderId="2" xfId="20" applyFont="1" applyFill="1" applyBorder="1" applyAlignment="1">
      <alignment horizontal="center" vertical="center" wrapText="1"/>
    </xf>
    <xf numFmtId="0" fontId="14" fillId="3" borderId="1" xfId="22" applyNumberFormat="1" applyFont="1" applyFill="1" applyBorder="1" applyAlignment="1">
      <alignment horizontal="center" vertical="center" wrapText="1"/>
    </xf>
    <xf numFmtId="0" fontId="15" fillId="3" borderId="1" xfId="20" applyFont="1" applyFill="1" applyBorder="1" applyAlignment="1">
      <alignment horizontal="center" vertical="center" wrapText="1"/>
    </xf>
    <xf numFmtId="0" fontId="13" fillId="3" borderId="1" xfId="23" applyFont="1" applyFill="1" applyBorder="1" applyAlignment="1">
      <alignment horizontal="left" wrapText="1" indent="1"/>
    </xf>
    <xf numFmtId="0" fontId="13" fillId="3" borderId="1" xfId="23" applyFont="1" applyFill="1" applyBorder="1" applyAlignment="1">
      <alignment horizontal="left" indent="1"/>
    </xf>
    <xf numFmtId="0" fontId="14" fillId="3" borderId="1" xfId="22" applyNumberFormat="1" applyFont="1" applyFill="1" applyBorder="1" applyAlignment="1">
      <alignment horizontal="left" wrapText="1" indent="1"/>
    </xf>
    <xf numFmtId="0" fontId="15" fillId="3" borderId="1" xfId="20" applyFont="1" applyFill="1" applyBorder="1" applyAlignment="1">
      <alignment vertical="top" wrapText="1"/>
    </xf>
    <xf numFmtId="0" fontId="18" fillId="3" borderId="1" xfId="20" applyFont="1" applyFill="1" applyBorder="1" applyAlignment="1">
      <alignment horizontal="left" vertical="center" wrapText="1" indent="1"/>
    </xf>
    <xf numFmtId="166" fontId="18" fillId="3" borderId="1" xfId="20" applyNumberFormat="1" applyFont="1" applyFill="1" applyBorder="1" applyAlignment="1">
      <alignment horizontal="right" vertical="center" wrapText="1" indent="1"/>
    </xf>
    <xf numFmtId="0" fontId="23" fillId="0" borderId="0" xfId="14" applyFont="1" applyFill="1" applyAlignment="1">
      <alignment vertical="top" wrapText="1"/>
    </xf>
    <xf numFmtId="0" fontId="13" fillId="0" borderId="5" xfId="16" applyNumberFormat="1" applyFont="1" applyFill="1" applyBorder="1" applyAlignment="1">
      <alignment horizontal="center" vertical="top" wrapText="1"/>
    </xf>
    <xf numFmtId="0" fontId="13" fillId="0" borderId="5" xfId="14" applyFont="1" applyFill="1" applyBorder="1" applyAlignment="1">
      <alignment horizontal="left" vertical="top" wrapText="1" indent="1"/>
    </xf>
    <xf numFmtId="0" fontId="13" fillId="0" borderId="5" xfId="13" applyNumberFormat="1" applyFont="1" applyFill="1" applyBorder="1" applyAlignment="1">
      <alignment horizontal="left" vertical="top" wrapText="1" indent="1"/>
    </xf>
    <xf numFmtId="0" fontId="13" fillId="3" borderId="5" xfId="14" applyFont="1" applyFill="1" applyBorder="1" applyAlignment="1">
      <alignment horizontal="left" vertical="top" wrapText="1" indent="1"/>
    </xf>
    <xf numFmtId="4" fontId="23" fillId="0" borderId="0" xfId="14" applyNumberFormat="1" applyFont="1" applyFill="1" applyAlignment="1">
      <alignment vertical="top" wrapText="1"/>
    </xf>
    <xf numFmtId="0" fontId="13" fillId="3" borderId="5" xfId="13" applyNumberFormat="1" applyFont="1" applyFill="1" applyBorder="1" applyAlignment="1">
      <alignment horizontal="left" vertical="top" wrapText="1" indent="1"/>
    </xf>
    <xf numFmtId="0" fontId="24" fillId="0" borderId="0" xfId="14" applyFont="1" applyFill="1" applyAlignment="1">
      <alignment vertical="top" wrapText="1"/>
    </xf>
    <xf numFmtId="0" fontId="13" fillId="0" borderId="5" xfId="18" applyNumberFormat="1" applyFont="1" applyFill="1" applyBorder="1" applyAlignment="1">
      <alignment horizontal="left" vertical="top" wrapText="1" indent="1"/>
    </xf>
    <xf numFmtId="0" fontId="13" fillId="3" borderId="5" xfId="18" applyNumberFormat="1" applyFont="1" applyFill="1" applyBorder="1" applyAlignment="1">
      <alignment horizontal="left" vertical="top" wrapText="1" indent="1"/>
    </xf>
    <xf numFmtId="166" fontId="23" fillId="0" borderId="0" xfId="14" applyNumberFormat="1" applyFont="1" applyFill="1" applyAlignment="1">
      <alignment vertical="top" wrapText="1"/>
    </xf>
    <xf numFmtId="0" fontId="23" fillId="0" borderId="5" xfId="12" applyNumberFormat="1" applyFont="1" applyFill="1" applyBorder="1" applyAlignment="1">
      <alignment vertical="top" wrapText="1"/>
    </xf>
    <xf numFmtId="0" fontId="10" fillId="0" borderId="5" xfId="13" applyNumberFormat="1" applyFont="1" applyFill="1" applyBorder="1" applyAlignment="1">
      <alignment horizontal="left" vertical="top" wrapText="1" indent="1"/>
    </xf>
    <xf numFmtId="4" fontId="13" fillId="0" borderId="5" xfId="13" applyNumberFormat="1" applyFont="1" applyFill="1" applyBorder="1" applyAlignment="1">
      <alignment horizontal="right" vertical="top" wrapText="1" indent="1"/>
    </xf>
    <xf numFmtId="4" fontId="13" fillId="0" borderId="5" xfId="14" applyNumberFormat="1" applyFont="1" applyFill="1" applyBorder="1" applyAlignment="1">
      <alignment horizontal="right" vertical="center" wrapText="1" indent="1"/>
    </xf>
    <xf numFmtId="4" fontId="13" fillId="0" borderId="5" xfId="17" applyNumberFormat="1" applyFont="1" applyFill="1" applyBorder="1" applyAlignment="1">
      <alignment horizontal="right" vertical="center" wrapText="1" indent="1"/>
    </xf>
    <xf numFmtId="4" fontId="10" fillId="0" borderId="5" xfId="14" applyNumberFormat="1" applyFont="1" applyFill="1" applyBorder="1" applyAlignment="1">
      <alignment horizontal="right" vertical="top" wrapText="1" indent="1"/>
    </xf>
    <xf numFmtId="0" fontId="25" fillId="3" borderId="0" xfId="11" applyFont="1" applyFill="1" applyAlignment="1"/>
    <xf numFmtId="0" fontId="25" fillId="0" borderId="0" xfId="11" applyFont="1" applyFill="1" applyAlignment="1">
      <alignment vertical="top" wrapText="1"/>
    </xf>
    <xf numFmtId="0" fontId="25" fillId="3" borderId="0" xfId="11" applyFont="1" applyFill="1" applyAlignment="1">
      <alignment vertical="center"/>
    </xf>
    <xf numFmtId="0" fontId="14" fillId="3" borderId="0" xfId="11" applyFont="1" applyFill="1" applyAlignment="1">
      <alignment vertical="center"/>
    </xf>
    <xf numFmtId="0" fontId="14" fillId="0" borderId="5" xfId="17" applyNumberFormat="1" applyFont="1" applyFill="1" applyBorder="1" applyAlignment="1">
      <alignment horizontal="center" vertical="center" wrapText="1"/>
    </xf>
    <xf numFmtId="0" fontId="14" fillId="0" borderId="5" xfId="12" applyNumberFormat="1" applyFont="1" applyFill="1" applyBorder="1" applyAlignment="1">
      <alignment horizontal="left" vertical="top" wrapText="1" indent="1"/>
    </xf>
    <xf numFmtId="166" fontId="14" fillId="0" borderId="5" xfId="13" applyNumberFormat="1" applyFont="1" applyFill="1" applyBorder="1" applyAlignment="1">
      <alignment horizontal="right" vertical="top" wrapText="1" indent="1"/>
    </xf>
    <xf numFmtId="0" fontId="13" fillId="0" borderId="5" xfId="11" applyFont="1" applyFill="1" applyBorder="1" applyAlignment="1">
      <alignment horizontal="left" vertical="top" wrapText="1" indent="1"/>
    </xf>
    <xf numFmtId="0" fontId="26" fillId="0" borderId="5" xfId="11" applyFont="1" applyFill="1" applyBorder="1" applyAlignment="1">
      <alignment horizontal="center" vertical="center" wrapText="1"/>
    </xf>
    <xf numFmtId="0" fontId="18" fillId="0" borderId="5" xfId="11" applyFont="1" applyFill="1" applyBorder="1" applyAlignment="1">
      <alignment horizontal="left" vertical="top" wrapText="1" indent="1"/>
    </xf>
    <xf numFmtId="166" fontId="18" fillId="0" borderId="5" xfId="11" applyNumberFormat="1" applyFont="1" applyFill="1" applyBorder="1" applyAlignment="1">
      <alignment horizontal="right" vertical="top" wrapText="1" indent="1"/>
    </xf>
    <xf numFmtId="0" fontId="26" fillId="0" borderId="0" xfId="11" applyFont="1" applyFill="1" applyAlignment="1">
      <alignment vertical="top" wrapText="1"/>
    </xf>
    <xf numFmtId="0" fontId="25" fillId="3" borderId="0" xfId="14" applyFont="1" applyFill="1" applyAlignment="1">
      <alignment vertical="top" wrapText="1"/>
    </xf>
    <xf numFmtId="0" fontId="14" fillId="3" borderId="1" xfId="15" applyFont="1" applyFill="1" applyBorder="1" applyAlignment="1">
      <alignment horizontal="center" vertical="center" wrapText="1"/>
    </xf>
    <xf numFmtId="0" fontId="14" fillId="3" borderId="5" xfId="16" applyNumberFormat="1" applyFont="1" applyFill="1" applyBorder="1" applyAlignment="1">
      <alignment horizontal="center" vertical="top" wrapText="1"/>
    </xf>
    <xf numFmtId="0" fontId="14" fillId="3" borderId="6" xfId="16" applyNumberFormat="1" applyFont="1" applyFill="1" applyBorder="1" applyAlignment="1">
      <alignment horizontal="center" vertical="top" wrapText="1"/>
    </xf>
    <xf numFmtId="0" fontId="14" fillId="3" borderId="1" xfId="16" applyNumberFormat="1" applyFont="1" applyFill="1" applyBorder="1" applyAlignment="1">
      <alignment horizontal="center" vertical="top" wrapText="1"/>
    </xf>
    <xf numFmtId="0" fontId="14" fillId="3" borderId="5" xfId="15" applyFont="1" applyFill="1" applyBorder="1" applyAlignment="1">
      <alignment horizontal="left" vertical="center" wrapText="1" indent="1"/>
    </xf>
    <xf numFmtId="0" fontId="14" fillId="3" borderId="6" xfId="18" applyNumberFormat="1" applyFont="1" applyFill="1" applyBorder="1" applyAlignment="1">
      <alignment horizontal="left" vertical="top" wrapText="1" indent="1"/>
    </xf>
    <xf numFmtId="166" fontId="14" fillId="3" borderId="1" xfId="17" applyNumberFormat="1" applyFont="1" applyFill="1" applyBorder="1" applyAlignment="1">
      <alignment horizontal="right" vertical="center" wrapText="1" indent="1"/>
    </xf>
    <xf numFmtId="166" fontId="25" fillId="3" borderId="0" xfId="14" applyNumberFormat="1" applyFont="1" applyFill="1" applyAlignment="1">
      <alignment vertical="top" wrapText="1"/>
    </xf>
    <xf numFmtId="0" fontId="26" fillId="3" borderId="5" xfId="12" applyNumberFormat="1" applyFont="1" applyFill="1" applyBorder="1" applyAlignment="1">
      <alignment horizontal="left" vertical="top" wrapText="1" indent="1"/>
    </xf>
    <xf numFmtId="0" fontId="18" fillId="3" borderId="6" xfId="13" applyNumberFormat="1" applyFont="1" applyFill="1" applyBorder="1" applyAlignment="1">
      <alignment horizontal="left" vertical="top" wrapText="1" indent="1"/>
    </xf>
    <xf numFmtId="166" fontId="18" fillId="3" borderId="1" xfId="14" applyNumberFormat="1" applyFont="1" applyFill="1" applyBorder="1" applyAlignment="1">
      <alignment horizontal="right" vertical="center" wrapText="1" indent="1"/>
    </xf>
    <xf numFmtId="166" fontId="14" fillId="3" borderId="1" xfId="14" applyNumberFormat="1" applyFont="1" applyFill="1" applyBorder="1" applyAlignment="1">
      <alignment horizontal="right" vertical="center" wrapText="1" indent="1"/>
    </xf>
    <xf numFmtId="166" fontId="18" fillId="3" borderId="1" xfId="14" applyNumberFormat="1" applyFont="1" applyFill="1" applyBorder="1" applyAlignment="1">
      <alignment horizontal="center" vertical="top" wrapText="1"/>
    </xf>
    <xf numFmtId="0" fontId="14" fillId="0" borderId="1" xfId="174" applyNumberFormat="1" applyFont="1" applyFill="1" applyBorder="1" applyAlignment="1">
      <alignment horizontal="center" vertical="top" wrapText="1"/>
    </xf>
    <xf numFmtId="0" fontId="14" fillId="0" borderId="1" xfId="174" applyNumberFormat="1" applyFont="1" applyFill="1" applyBorder="1" applyAlignment="1">
      <alignment horizontal="center" vertical="center" wrapText="1"/>
    </xf>
    <xf numFmtId="0" fontId="15" fillId="0" borderId="1" xfId="33" applyFont="1" applyFill="1" applyBorder="1" applyAlignment="1">
      <alignment horizontal="center" vertical="center" wrapText="1"/>
    </xf>
    <xf numFmtId="0" fontId="14" fillId="0" borderId="5" xfId="173" applyNumberFormat="1" applyFont="1" applyFill="1" applyBorder="1" applyAlignment="1">
      <alignment horizontal="center" vertical="center" wrapText="1"/>
    </xf>
    <xf numFmtId="0" fontId="14" fillId="0" borderId="5" xfId="33" applyFont="1" applyFill="1" applyBorder="1" applyAlignment="1">
      <alignment horizontal="left" vertical="top" wrapText="1" indent="1"/>
    </xf>
    <xf numFmtId="166" fontId="13" fillId="0" borderId="1" xfId="33" applyNumberFormat="1" applyFont="1" applyFill="1" applyBorder="1" applyAlignment="1">
      <alignment horizontal="right" vertical="center" indent="1"/>
    </xf>
    <xf numFmtId="166" fontId="15" fillId="0" borderId="1" xfId="33" applyNumberFormat="1" applyFont="1" applyFill="1" applyBorder="1" applyAlignment="1">
      <alignment horizontal="right" vertical="center" indent="1"/>
    </xf>
    <xf numFmtId="0" fontId="18" fillId="0" borderId="5" xfId="33" applyFont="1" applyFill="1" applyBorder="1" applyAlignment="1">
      <alignment horizontal="left" vertical="top" wrapText="1" indent="1"/>
    </xf>
    <xf numFmtId="166" fontId="16" fillId="0" borderId="1" xfId="33" applyNumberFormat="1" applyFont="1" applyFill="1" applyBorder="1" applyAlignment="1">
      <alignment horizontal="right" vertical="center" indent="1"/>
    </xf>
    <xf numFmtId="0" fontId="27" fillId="0" borderId="0" xfId="1" applyFont="1"/>
    <xf numFmtId="0" fontId="13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left" indent="1"/>
    </xf>
    <xf numFmtId="49" fontId="10" fillId="0" borderId="1" xfId="1" applyNumberFormat="1" applyFont="1" applyBorder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right"/>
    </xf>
    <xf numFmtId="0" fontId="14" fillId="3" borderId="2" xfId="11" applyFont="1" applyFill="1" applyBorder="1" applyAlignment="1">
      <alignment horizontal="center" vertical="center" wrapText="1"/>
    </xf>
    <xf numFmtId="166" fontId="13" fillId="0" borderId="8" xfId="1" applyNumberFormat="1" applyFont="1" applyFill="1" applyBorder="1" applyAlignment="1">
      <alignment horizontal="right" indent="1"/>
    </xf>
    <xf numFmtId="0" fontId="10" fillId="0" borderId="1" xfId="1" applyFont="1" applyBorder="1" applyAlignment="1">
      <alignment horizontal="left" indent="1"/>
    </xf>
    <xf numFmtId="166" fontId="10" fillId="0" borderId="8" xfId="1" applyNumberFormat="1" applyFont="1" applyFill="1" applyBorder="1" applyAlignment="1">
      <alignment horizontal="right" indent="1"/>
    </xf>
    <xf numFmtId="0" fontId="3" fillId="0" borderId="0" xfId="175"/>
    <xf numFmtId="0" fontId="13" fillId="0" borderId="1" xfId="5" applyFont="1" applyFill="1" applyBorder="1" applyAlignment="1">
      <alignment horizontal="center" vertical="center" wrapText="1"/>
    </xf>
    <xf numFmtId="0" fontId="14" fillId="3" borderId="1" xfId="11" applyFont="1" applyFill="1" applyBorder="1" applyAlignment="1">
      <alignment horizontal="center" vertical="center"/>
    </xf>
    <xf numFmtId="0" fontId="14" fillId="3" borderId="1" xfId="1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top" wrapText="1"/>
    </xf>
    <xf numFmtId="0" fontId="13" fillId="0" borderId="1" xfId="5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 shrinkToFit="1"/>
    </xf>
    <xf numFmtId="0" fontId="14" fillId="3" borderId="2" xfId="21" applyNumberFormat="1" applyFont="1" applyFill="1" applyBorder="1" applyAlignment="1">
      <alignment horizontal="center" vertical="center" wrapText="1"/>
    </xf>
    <xf numFmtId="0" fontId="13" fillId="0" borderId="5" xfId="15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5" fillId="3" borderId="1" xfId="11" applyFont="1" applyFill="1" applyBorder="1" applyAlignment="1">
      <alignment horizontal="left" vertical="center" wrapText="1" indent="1"/>
    </xf>
    <xf numFmtId="0" fontId="15" fillId="3" borderId="1" xfId="11" applyFont="1" applyFill="1" applyBorder="1" applyAlignment="1">
      <alignment horizontal="left" vertical="center" indent="1"/>
    </xf>
    <xf numFmtId="0" fontId="13" fillId="3" borderId="1" xfId="11" applyNumberFormat="1" applyFont="1" applyFill="1" applyBorder="1" applyAlignment="1">
      <alignment horizontal="left" indent="1"/>
    </xf>
    <xf numFmtId="1" fontId="14" fillId="0" borderId="1" xfId="8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/>
    </xf>
    <xf numFmtId="0" fontId="15" fillId="3" borderId="1" xfId="8" applyFont="1" applyFill="1" applyBorder="1" applyAlignment="1">
      <alignment horizontal="left" vertical="center" wrapText="1" indent="1"/>
    </xf>
    <xf numFmtId="0" fontId="14" fillId="0" borderId="0" xfId="8" applyFont="1" applyFill="1"/>
    <xf numFmtId="166" fontId="14" fillId="0" borderId="0" xfId="8" applyNumberFormat="1" applyFont="1" applyFill="1" applyBorder="1" applyAlignment="1">
      <alignment horizontal="left"/>
    </xf>
    <xf numFmtId="1" fontId="13" fillId="0" borderId="1" xfId="8" applyNumberFormat="1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/>
    </xf>
    <xf numFmtId="0" fontId="13" fillId="3" borderId="1" xfId="8" applyFont="1" applyFill="1" applyBorder="1" applyAlignment="1">
      <alignment horizontal="left" vertical="center" wrapText="1" indent="1"/>
    </xf>
    <xf numFmtId="0" fontId="13" fillId="0" borderId="0" xfId="8" applyFont="1" applyFill="1"/>
    <xf numFmtId="166" fontId="13" fillId="0" borderId="0" xfId="8" applyNumberFormat="1" applyFont="1" applyFill="1" applyBorder="1" applyAlignment="1">
      <alignment horizontal="left"/>
    </xf>
    <xf numFmtId="0" fontId="13" fillId="0" borderId="2" xfId="8" applyNumberFormat="1" applyFont="1" applyFill="1" applyBorder="1" applyAlignment="1">
      <alignment horizontal="center" vertical="top" wrapText="1"/>
    </xf>
    <xf numFmtId="165" fontId="13" fillId="0" borderId="1" xfId="9" applyNumberFormat="1" applyFont="1" applyFill="1" applyBorder="1" applyAlignment="1">
      <alignment horizontal="right" indent="1"/>
    </xf>
    <xf numFmtId="0" fontId="13" fillId="0" borderId="1" xfId="8" applyFont="1" applyFill="1" applyBorder="1" applyAlignment="1">
      <alignment horizontal="left" vertical="center" indent="1"/>
    </xf>
    <xf numFmtId="49" fontId="10" fillId="0" borderId="1" xfId="8" applyNumberFormat="1" applyFont="1" applyFill="1" applyBorder="1" applyAlignment="1">
      <alignment horizontal="center"/>
    </xf>
    <xf numFmtId="0" fontId="10" fillId="0" borderId="1" xfId="8" applyNumberFormat="1" applyFont="1" applyFill="1" applyBorder="1" applyAlignment="1">
      <alignment horizontal="left" indent="1"/>
    </xf>
    <xf numFmtId="165" fontId="10" fillId="0" borderId="1" xfId="9" applyNumberFormat="1" applyFont="1" applyFill="1" applyBorder="1" applyAlignment="1">
      <alignment horizontal="right" inden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65" fontId="14" fillId="0" borderId="1" xfId="26" applyNumberFormat="1" applyFont="1" applyFill="1" applyBorder="1"/>
    <xf numFmtId="165" fontId="14" fillId="0" borderId="1" xfId="26" applyNumberFormat="1" applyFont="1" applyFill="1" applyBorder="1" applyAlignment="1">
      <alignment horizontal="right" indent="1"/>
    </xf>
    <xf numFmtId="0" fontId="15" fillId="0" borderId="1" xfId="0" applyFont="1" applyFill="1" applyBorder="1" applyAlignment="1">
      <alignment horizontal="left" vertical="center" indent="1"/>
    </xf>
    <xf numFmtId="0" fontId="13" fillId="0" borderId="1" xfId="0" applyNumberFormat="1" applyFont="1" applyFill="1" applyBorder="1" applyAlignment="1">
      <alignment horizontal="left" inden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indent="1"/>
    </xf>
    <xf numFmtId="165" fontId="18" fillId="0" borderId="1" xfId="26" applyNumberFormat="1" applyFont="1" applyFill="1" applyBorder="1" applyAlignment="1">
      <alignment horizontal="right" indent="1"/>
    </xf>
    <xf numFmtId="0" fontId="15" fillId="0" borderId="0" xfId="0" applyFont="1" applyAlignment="1">
      <alignment wrapText="1"/>
    </xf>
    <xf numFmtId="0" fontId="15" fillId="0" borderId="0" xfId="0" applyFont="1"/>
    <xf numFmtId="0" fontId="27" fillId="0" borderId="0" xfId="1" applyFont="1" applyFill="1"/>
    <xf numFmtId="0" fontId="13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right" vertical="center" indent="1"/>
    </xf>
    <xf numFmtId="0" fontId="13" fillId="0" borderId="1" xfId="1" applyNumberFormat="1" applyFont="1" applyFill="1" applyBorder="1" applyAlignment="1">
      <alignment horizontal="left" indent="1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left" indent="1"/>
    </xf>
    <xf numFmtId="166" fontId="10" fillId="0" borderId="1" xfId="1" applyNumberFormat="1" applyFont="1" applyFill="1" applyBorder="1" applyAlignment="1">
      <alignment horizontal="right" indent="1"/>
    </xf>
    <xf numFmtId="0" fontId="13" fillId="0" borderId="1" xfId="1" applyFont="1" applyFill="1" applyBorder="1" applyAlignment="1">
      <alignment horizontal="left" vertical="center" wrapText="1" indent="1"/>
    </xf>
    <xf numFmtId="0" fontId="13" fillId="0" borderId="1" xfId="1" applyFont="1" applyFill="1" applyBorder="1" applyAlignment="1">
      <alignment horizontal="left" vertical="center" indent="1"/>
    </xf>
    <xf numFmtId="173" fontId="10" fillId="0" borderId="1" xfId="9" applyNumberFormat="1" applyFont="1" applyBorder="1" applyAlignment="1">
      <alignment horizontal="right" vertical="center" indent="1"/>
    </xf>
    <xf numFmtId="0" fontId="14" fillId="0" borderId="0" xfId="8" applyFont="1" applyFill="1" applyAlignment="1">
      <alignment horizontal="right" vertical="top" wrapText="1"/>
    </xf>
    <xf numFmtId="0" fontId="17" fillId="0" borderId="0" xfId="8" applyFont="1" applyFill="1" applyAlignment="1">
      <alignment vertical="top" wrapText="1"/>
    </xf>
    <xf numFmtId="0" fontId="14" fillId="0" borderId="1" xfId="9" applyNumberFormat="1" applyFont="1" applyFill="1" applyBorder="1" applyAlignment="1">
      <alignment horizontal="center" vertical="center" wrapText="1"/>
    </xf>
    <xf numFmtId="0" fontId="14" fillId="0" borderId="1" xfId="9" applyNumberFormat="1" applyFont="1" applyFill="1" applyBorder="1" applyAlignment="1">
      <alignment horizontal="center" vertical="top" wrapText="1"/>
    </xf>
    <xf numFmtId="0" fontId="14" fillId="0" borderId="5" xfId="10" applyNumberFormat="1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left" vertical="center" wrapText="1" indent="1"/>
    </xf>
    <xf numFmtId="166" fontId="15" fillId="0" borderId="1" xfId="8" applyNumberFormat="1" applyFont="1" applyFill="1" applyBorder="1" applyAlignment="1">
      <alignment horizontal="right" vertical="center" indent="1"/>
    </xf>
    <xf numFmtId="0" fontId="14" fillId="0" borderId="5" xfId="8" applyFont="1" applyFill="1" applyBorder="1" applyAlignment="1">
      <alignment horizontal="left" vertical="center" wrapText="1" indent="1"/>
    </xf>
    <xf numFmtId="0" fontId="17" fillId="0" borderId="5" xfId="8" applyFont="1" applyFill="1" applyBorder="1" applyAlignment="1">
      <alignment horizontal="center" vertical="center" wrapText="1"/>
    </xf>
    <xf numFmtId="166" fontId="16" fillId="0" borderId="1" xfId="8" applyNumberFormat="1" applyFont="1" applyFill="1" applyBorder="1" applyAlignment="1">
      <alignment horizontal="right" vertical="center" indent="1"/>
    </xf>
    <xf numFmtId="0" fontId="17" fillId="0" borderId="0" xfId="8" applyFont="1" applyFill="1" applyAlignment="1">
      <alignment horizontal="center" vertical="center" wrapText="1"/>
    </xf>
    <xf numFmtId="0" fontId="14" fillId="0" borderId="0" xfId="28" applyFont="1" applyFill="1"/>
    <xf numFmtId="1" fontId="14" fillId="0" borderId="1" xfId="28" applyNumberFormat="1" applyFont="1" applyFill="1" applyBorder="1" applyAlignment="1">
      <alignment horizontal="center" vertical="center"/>
    </xf>
    <xf numFmtId="0" fontId="13" fillId="0" borderId="2" xfId="28" applyNumberFormat="1" applyFont="1" applyFill="1" applyBorder="1" applyAlignment="1">
      <alignment horizontal="center" vertical="top" wrapText="1"/>
    </xf>
    <xf numFmtId="0" fontId="14" fillId="0" borderId="1" xfId="28" applyFont="1" applyFill="1" applyBorder="1" applyAlignment="1">
      <alignment horizontal="center"/>
    </xf>
    <xf numFmtId="0" fontId="15" fillId="0" borderId="1" xfId="28" applyFont="1" applyFill="1" applyBorder="1" applyAlignment="1">
      <alignment horizontal="center" vertical="center" wrapText="1"/>
    </xf>
    <xf numFmtId="0" fontId="15" fillId="0" borderId="1" xfId="28" applyFont="1" applyFill="1" applyBorder="1" applyAlignment="1">
      <alignment horizontal="left" vertical="center" wrapText="1" indent="1"/>
    </xf>
    <xf numFmtId="165" fontId="14" fillId="0" borderId="1" xfId="29" applyNumberFormat="1" applyFont="1" applyFill="1" applyBorder="1"/>
    <xf numFmtId="165" fontId="14" fillId="0" borderId="1" xfId="29" applyNumberFormat="1" applyFont="1" applyFill="1" applyBorder="1" applyAlignment="1">
      <alignment horizontal="right" indent="1"/>
    </xf>
    <xf numFmtId="0" fontId="15" fillId="0" borderId="1" xfId="28" applyFont="1" applyFill="1" applyBorder="1" applyAlignment="1">
      <alignment horizontal="left" vertical="center" indent="1"/>
    </xf>
    <xf numFmtId="0" fontId="13" fillId="0" borderId="1" xfId="28" applyNumberFormat="1" applyFont="1" applyFill="1" applyBorder="1" applyAlignment="1">
      <alignment horizontal="left" indent="1"/>
    </xf>
    <xf numFmtId="0" fontId="18" fillId="0" borderId="0" xfId="28" applyFont="1" applyFill="1"/>
    <xf numFmtId="165" fontId="18" fillId="0" borderId="1" xfId="29" applyNumberFormat="1" applyFont="1" applyFill="1" applyBorder="1" applyAlignment="1">
      <alignment horizontal="right" indent="1"/>
    </xf>
    <xf numFmtId="0" fontId="14" fillId="0" borderId="0" xfId="28" applyFont="1"/>
    <xf numFmtId="0" fontId="13" fillId="0" borderId="2" xfId="28" applyNumberFormat="1" applyFont="1" applyBorder="1" applyAlignment="1">
      <alignment horizontal="center" vertical="top" wrapText="1"/>
    </xf>
    <xf numFmtId="0" fontId="13" fillId="3" borderId="2" xfId="28" applyNumberFormat="1" applyFont="1" applyFill="1" applyBorder="1" applyAlignment="1">
      <alignment horizontal="center" vertical="top" wrapText="1"/>
    </xf>
    <xf numFmtId="0" fontId="15" fillId="0" borderId="1" xfId="28" applyFont="1" applyBorder="1" applyAlignment="1">
      <alignment horizontal="center" vertical="center" wrapText="1"/>
    </xf>
    <xf numFmtId="0" fontId="15" fillId="3" borderId="1" xfId="28" applyFont="1" applyFill="1" applyBorder="1" applyAlignment="1">
      <alignment horizontal="left" vertical="center" wrapText="1" indent="1"/>
    </xf>
    <xf numFmtId="0" fontId="14" fillId="4" borderId="0" xfId="28" applyFont="1" applyFill="1"/>
    <xf numFmtId="0" fontId="13" fillId="3" borderId="1" xfId="28" applyFont="1" applyFill="1" applyBorder="1" applyAlignment="1">
      <alignment horizontal="left" vertical="center" wrapText="1" indent="1"/>
    </xf>
    <xf numFmtId="0" fontId="15" fillId="3" borderId="1" xfId="28" applyFont="1" applyFill="1" applyBorder="1" applyAlignment="1">
      <alignment horizontal="left" vertical="center" indent="1"/>
    </xf>
    <xf numFmtId="0" fontId="13" fillId="0" borderId="1" xfId="28" applyFont="1" applyBorder="1" applyAlignment="1">
      <alignment horizontal="center" vertical="center" wrapText="1"/>
    </xf>
    <xf numFmtId="0" fontId="13" fillId="3" borderId="1" xfId="28" applyNumberFormat="1" applyFont="1" applyFill="1" applyBorder="1" applyAlignment="1">
      <alignment horizontal="left" indent="1"/>
    </xf>
    <xf numFmtId="49" fontId="10" fillId="0" borderId="1" xfId="28" applyNumberFormat="1" applyFont="1" applyBorder="1" applyAlignment="1">
      <alignment horizontal="center"/>
    </xf>
    <xf numFmtId="0" fontId="10" fillId="3" borderId="1" xfId="28" applyNumberFormat="1" applyFont="1" applyFill="1" applyBorder="1" applyAlignment="1">
      <alignment horizontal="left" indent="1"/>
    </xf>
    <xf numFmtId="166" fontId="14" fillId="0" borderId="0" xfId="28" applyNumberFormat="1" applyFont="1" applyFill="1" applyBorder="1" applyAlignment="1">
      <alignment horizontal="left"/>
    </xf>
    <xf numFmtId="166" fontId="15" fillId="0" borderId="1" xfId="8" applyNumberFormat="1" applyFont="1" applyFill="1" applyBorder="1" applyAlignment="1">
      <alignment horizontal="right" vertical="center" indent="2"/>
    </xf>
    <xf numFmtId="0" fontId="17" fillId="0" borderId="5" xfId="8" applyFont="1" applyFill="1" applyBorder="1" applyAlignment="1">
      <alignment vertical="center" wrapText="1"/>
    </xf>
    <xf numFmtId="0" fontId="18" fillId="0" borderId="5" xfId="8" applyFont="1" applyFill="1" applyBorder="1" applyAlignment="1">
      <alignment horizontal="left" vertical="top" wrapText="1" indent="1"/>
    </xf>
    <xf numFmtId="166" fontId="16" fillId="0" borderId="1" xfId="8" applyNumberFormat="1" applyFont="1" applyFill="1" applyBorder="1" applyAlignment="1">
      <alignment horizontal="right" vertical="center" indent="2"/>
    </xf>
    <xf numFmtId="0" fontId="17" fillId="0" borderId="0" xfId="8" applyFont="1" applyFill="1" applyAlignment="1">
      <alignment horizontal="center" vertical="center" wrapText="1"/>
    </xf>
    <xf numFmtId="0" fontId="14" fillId="0" borderId="5" xfId="8" applyFont="1" applyFill="1" applyBorder="1" applyAlignment="1">
      <alignment horizontal="left" vertical="top" wrapText="1" indent="1"/>
    </xf>
    <xf numFmtId="0" fontId="14" fillId="3" borderId="5" xfId="8" applyFont="1" applyFill="1" applyBorder="1" applyAlignment="1">
      <alignment horizontal="left" vertical="top" wrapText="1" indent="1"/>
    </xf>
    <xf numFmtId="0" fontId="13" fillId="0" borderId="2" xfId="173" applyNumberFormat="1" applyFont="1" applyFill="1" applyBorder="1" applyAlignment="1">
      <alignment horizontal="center" vertical="center" wrapText="1"/>
    </xf>
    <xf numFmtId="0" fontId="13" fillId="0" borderId="2" xfId="33" applyFont="1" applyFill="1" applyBorder="1" applyAlignment="1">
      <alignment horizontal="center" vertical="center" wrapText="1"/>
    </xf>
    <xf numFmtId="0" fontId="15" fillId="0" borderId="0" xfId="33" applyFont="1" applyFill="1" applyAlignment="1">
      <alignment vertical="top" wrapText="1"/>
    </xf>
    <xf numFmtId="0" fontId="15" fillId="0" borderId="5" xfId="33" applyFont="1" applyFill="1" applyBorder="1" applyAlignment="1">
      <alignment vertical="center" wrapText="1"/>
    </xf>
    <xf numFmtId="0" fontId="15" fillId="0" borderId="0" xfId="33" applyFont="1" applyFill="1" applyAlignment="1">
      <alignment horizontal="center" vertical="center" wrapText="1"/>
    </xf>
    <xf numFmtId="0" fontId="13" fillId="0" borderId="0" xfId="6" applyFont="1" applyFill="1" applyAlignment="1">
      <alignment vertical="center"/>
    </xf>
    <xf numFmtId="0" fontId="13" fillId="0" borderId="3" xfId="7" applyFont="1" applyFill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13" fillId="0" borderId="0" xfId="33" applyFont="1" applyFill="1" applyAlignment="1">
      <alignment vertical="top" wrapText="1"/>
    </xf>
    <xf numFmtId="0" fontId="13" fillId="3" borderId="0" xfId="14" applyFont="1" applyFill="1" applyAlignment="1">
      <alignment vertical="top" wrapText="1"/>
    </xf>
    <xf numFmtId="0" fontId="13" fillId="0" borderId="0" xfId="11" applyFont="1" applyFill="1" applyAlignment="1">
      <alignment vertical="top" wrapText="1"/>
    </xf>
    <xf numFmtId="0" fontId="13" fillId="0" borderId="0" xfId="14" applyFont="1" applyFill="1" applyAlignment="1">
      <alignment vertical="top" wrapText="1"/>
    </xf>
    <xf numFmtId="0" fontId="13" fillId="3" borderId="0" xfId="31" applyFont="1" applyFill="1"/>
    <xf numFmtId="0" fontId="13" fillId="0" borderId="0" xfId="20" applyFont="1"/>
    <xf numFmtId="0" fontId="13" fillId="0" borderId="0" xfId="8" applyFont="1" applyFill="1" applyAlignment="1">
      <alignment vertical="top" wrapText="1"/>
    </xf>
    <xf numFmtId="0" fontId="13" fillId="0" borderId="0" xfId="28" applyFont="1"/>
    <xf numFmtId="0" fontId="13" fillId="0" borderId="0" xfId="28" applyFont="1" applyFill="1"/>
    <xf numFmtId="0" fontId="13" fillId="0" borderId="0" xfId="0" applyFont="1"/>
    <xf numFmtId="0" fontId="13" fillId="0" borderId="0" xfId="1" applyFont="1" applyFill="1"/>
    <xf numFmtId="0" fontId="13" fillId="0" borderId="0" xfId="8" applyFont="1"/>
    <xf numFmtId="0" fontId="13" fillId="0" borderId="0" xfId="2" applyFont="1"/>
    <xf numFmtId="0" fontId="13" fillId="0" borderId="0" xfId="175" applyFont="1" applyFill="1"/>
    <xf numFmtId="0" fontId="13" fillId="0" borderId="0" xfId="175" applyFont="1"/>
    <xf numFmtId="0" fontId="13" fillId="0" borderId="0" xfId="1" applyFont="1" applyAlignment="1">
      <alignment horizontal="right" vertical="top" wrapText="1"/>
    </xf>
    <xf numFmtId="0" fontId="13" fillId="0" borderId="2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 indent="1"/>
    </xf>
    <xf numFmtId="166" fontId="27" fillId="0" borderId="0" xfId="1" applyNumberFormat="1" applyFont="1"/>
    <xf numFmtId="0" fontId="13" fillId="3" borderId="1" xfId="1" applyFont="1" applyFill="1" applyBorder="1" applyAlignment="1">
      <alignment horizontal="left" vertical="center" wrapText="1" indent="1"/>
    </xf>
    <xf numFmtId="0" fontId="13" fillId="3" borderId="1" xfId="1" applyFont="1" applyFill="1" applyBorder="1" applyAlignment="1">
      <alignment horizontal="left" vertical="center" indent="1"/>
    </xf>
    <xf numFmtId="0" fontId="10" fillId="3" borderId="1" xfId="1" applyNumberFormat="1" applyFont="1" applyFill="1" applyBorder="1" applyAlignment="1">
      <alignment horizontal="left" indent="1"/>
    </xf>
    <xf numFmtId="166" fontId="13" fillId="0" borderId="0" xfId="1" applyNumberFormat="1" applyFont="1"/>
    <xf numFmtId="166" fontId="13" fillId="0" borderId="0" xfId="1" applyNumberFormat="1" applyFont="1" applyFill="1"/>
    <xf numFmtId="0" fontId="10" fillId="0" borderId="0" xfId="1" applyFont="1" applyAlignment="1">
      <alignment horizontal="right"/>
    </xf>
    <xf numFmtId="0" fontId="13" fillId="0" borderId="1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left" indent="1"/>
    </xf>
    <xf numFmtId="166" fontId="13" fillId="0" borderId="1" xfId="1" applyNumberFormat="1" applyFont="1" applyFill="1" applyBorder="1" applyAlignment="1">
      <alignment horizontal="right" indent="1"/>
    </xf>
    <xf numFmtId="0" fontId="10" fillId="0" borderId="1" xfId="1" applyNumberFormat="1" applyFont="1" applyBorder="1" applyAlignment="1">
      <alignment horizontal="left" indent="1"/>
    </xf>
    <xf numFmtId="0" fontId="10" fillId="0" borderId="0" xfId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0" fillId="0" borderId="0" xfId="1" applyFont="1" applyAlignment="1">
      <alignment horizontal="right" wrapText="1"/>
    </xf>
    <xf numFmtId="0" fontId="27" fillId="0" borderId="0" xfId="1" applyNumberFormat="1" applyFont="1"/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center"/>
    </xf>
    <xf numFmtId="0" fontId="13" fillId="3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/>
    </xf>
    <xf numFmtId="0" fontId="29" fillId="0" borderId="0" xfId="1" applyFont="1"/>
    <xf numFmtId="166" fontId="13" fillId="0" borderId="1" xfId="1" applyNumberFormat="1" applyFont="1" applyFill="1" applyBorder="1" applyAlignment="1">
      <alignment horizontal="right" indent="1" shrinkToFit="1"/>
    </xf>
    <xf numFmtId="0" fontId="10" fillId="0" borderId="1" xfId="1" applyNumberFormat="1" applyFont="1" applyFill="1" applyBorder="1" applyAlignment="1">
      <alignment horizontal="center"/>
    </xf>
    <xf numFmtId="174" fontId="10" fillId="0" borderId="1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175" fontId="27" fillId="0" borderId="0" xfId="27" applyNumberFormat="1" applyFont="1"/>
    <xf numFmtId="0" fontId="13" fillId="0" borderId="8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left" vertical="center" wrapText="1" indent="1"/>
    </xf>
    <xf numFmtId="0" fontId="15" fillId="3" borderId="1" xfId="1" applyFont="1" applyFill="1" applyBorder="1" applyAlignment="1">
      <alignment horizontal="left" vertical="center" wrapText="1" indent="1"/>
    </xf>
    <xf numFmtId="0" fontId="15" fillId="3" borderId="1" xfId="1" applyFont="1" applyFill="1" applyBorder="1" applyAlignment="1">
      <alignment horizontal="left" vertical="center" indent="1"/>
    </xf>
    <xf numFmtId="0" fontId="14" fillId="0" borderId="0" xfId="175" applyFont="1" applyFill="1"/>
    <xf numFmtId="1" fontId="14" fillId="0" borderId="1" xfId="175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75" applyFont="1" applyFill="1" applyBorder="1" applyAlignment="1">
      <alignment horizontal="center"/>
    </xf>
    <xf numFmtId="0" fontId="13" fillId="0" borderId="1" xfId="1" applyFont="1" applyFill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horizontal="left" indent="1"/>
      <protection locked="0"/>
    </xf>
    <xf numFmtId="0" fontId="16" fillId="0" borderId="0" xfId="175" applyFont="1" applyFill="1" applyBorder="1" applyAlignment="1">
      <alignment vertical="center"/>
    </xf>
    <xf numFmtId="0" fontId="16" fillId="0" borderId="4" xfId="175" applyFont="1" applyFill="1" applyBorder="1" applyAlignment="1">
      <alignment vertical="center"/>
    </xf>
    <xf numFmtId="0" fontId="15" fillId="0" borderId="0" xfId="175" applyFont="1" applyFill="1" applyBorder="1" applyAlignment="1">
      <alignment horizontal="center" vertical="center"/>
    </xf>
    <xf numFmtId="166" fontId="14" fillId="0" borderId="0" xfId="175" applyNumberFormat="1" applyFont="1" applyFill="1" applyBorder="1" applyAlignment="1">
      <alignment horizontal="left"/>
    </xf>
    <xf numFmtId="0" fontId="10" fillId="2" borderId="0" xfId="2" applyFont="1" applyFill="1" applyAlignment="1">
      <alignment horizontal="right" vertical="top" wrapText="1"/>
    </xf>
    <xf numFmtId="0" fontId="14" fillId="0" borderId="0" xfId="2" applyFont="1"/>
    <xf numFmtId="1" fontId="14" fillId="0" borderId="1" xfId="2" applyNumberFormat="1" applyFont="1" applyFill="1" applyBorder="1" applyAlignment="1">
      <alignment horizontal="center" vertical="center"/>
    </xf>
    <xf numFmtId="0" fontId="13" fillId="0" borderId="2" xfId="2" applyNumberFormat="1" applyFont="1" applyBorder="1" applyAlignment="1">
      <alignment horizontal="center" vertical="top" wrapText="1"/>
    </xf>
    <xf numFmtId="0" fontId="13" fillId="3" borderId="2" xfId="2" applyNumberFormat="1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left" vertical="center" wrapText="1" indent="1"/>
    </xf>
    <xf numFmtId="165" fontId="14" fillId="3" borderId="1" xfId="3" applyNumberFormat="1" applyFont="1" applyFill="1" applyBorder="1" applyAlignment="1">
      <alignment horizontal="right" indent="1"/>
    </xf>
    <xf numFmtId="0" fontId="14" fillId="4" borderId="0" xfId="2" applyFont="1" applyFill="1"/>
    <xf numFmtId="0" fontId="15" fillId="3" borderId="1" xfId="2" applyFont="1" applyFill="1" applyBorder="1" applyAlignment="1">
      <alignment horizontal="left" vertical="center" indent="1"/>
    </xf>
    <xf numFmtId="0" fontId="13" fillId="3" borderId="1" xfId="2" applyNumberFormat="1" applyFont="1" applyFill="1" applyBorder="1" applyAlignment="1">
      <alignment horizontal="left" indent="1"/>
    </xf>
    <xf numFmtId="49" fontId="10" fillId="0" borderId="1" xfId="2" applyNumberFormat="1" applyFont="1" applyBorder="1" applyAlignment="1">
      <alignment horizontal="center"/>
    </xf>
    <xf numFmtId="0" fontId="10" fillId="3" borderId="1" xfId="2" applyNumberFormat="1" applyFont="1" applyFill="1" applyBorder="1" applyAlignment="1">
      <alignment horizontal="left" indent="1"/>
    </xf>
    <xf numFmtId="165" fontId="18" fillId="3" borderId="1" xfId="3" applyNumberFormat="1" applyFont="1" applyFill="1" applyBorder="1" applyAlignment="1">
      <alignment horizontal="right" indent="1"/>
    </xf>
    <xf numFmtId="0" fontId="14" fillId="0" borderId="0" xfId="2" applyFont="1" applyFill="1"/>
    <xf numFmtId="166" fontId="14" fillId="0" borderId="0" xfId="2" applyNumberFormat="1" applyFont="1" applyFill="1" applyBorder="1" applyAlignment="1">
      <alignment horizontal="left"/>
    </xf>
    <xf numFmtId="165" fontId="14" fillId="0" borderId="1" xfId="3" applyNumberFormat="1" applyFont="1" applyBorder="1" applyAlignment="1">
      <alignment horizontal="right" indent="1"/>
    </xf>
    <xf numFmtId="0" fontId="14" fillId="0" borderId="0" xfId="8" applyFont="1"/>
    <xf numFmtId="0" fontId="13" fillId="0" borderId="2" xfId="8" applyNumberFormat="1" applyFont="1" applyBorder="1" applyAlignment="1">
      <alignment horizontal="center" vertical="top" wrapText="1"/>
    </xf>
    <xf numFmtId="0" fontId="13" fillId="3" borderId="2" xfId="8" applyNumberFormat="1" applyFont="1" applyFill="1" applyBorder="1" applyAlignment="1">
      <alignment horizontal="center" vertical="top" wrapText="1"/>
    </xf>
    <xf numFmtId="0" fontId="15" fillId="0" borderId="1" xfId="8" applyFont="1" applyBorder="1" applyAlignment="1">
      <alignment horizontal="center" vertical="center" wrapText="1"/>
    </xf>
    <xf numFmtId="0" fontId="14" fillId="4" borderId="0" xfId="8" applyFont="1" applyFill="1"/>
    <xf numFmtId="0" fontId="15" fillId="3" borderId="1" xfId="8" applyFont="1" applyFill="1" applyBorder="1" applyAlignment="1">
      <alignment horizontal="left" vertical="center" indent="1"/>
    </xf>
    <xf numFmtId="0" fontId="13" fillId="3" borderId="1" xfId="8" applyNumberFormat="1" applyFont="1" applyFill="1" applyBorder="1" applyAlignment="1">
      <alignment horizontal="left" indent="1"/>
    </xf>
    <xf numFmtId="49" fontId="10" fillId="0" borderId="1" xfId="8" applyNumberFormat="1" applyFont="1" applyBorder="1" applyAlignment="1">
      <alignment horizontal="center"/>
    </xf>
    <xf numFmtId="0" fontId="10" fillId="3" borderId="1" xfId="8" applyNumberFormat="1" applyFont="1" applyFill="1" applyBorder="1" applyAlignment="1">
      <alignment horizontal="left" indent="1"/>
    </xf>
    <xf numFmtId="173" fontId="14" fillId="0" borderId="1" xfId="9" applyNumberFormat="1" applyFont="1" applyBorder="1"/>
    <xf numFmtId="173" fontId="14" fillId="3" borderId="1" xfId="9" applyNumberFormat="1" applyFont="1" applyFill="1" applyBorder="1" applyAlignment="1">
      <alignment horizontal="right" indent="1"/>
    </xf>
    <xf numFmtId="173" fontId="18" fillId="3" borderId="1" xfId="9" applyNumberFormat="1" applyFont="1" applyFill="1" applyBorder="1" applyAlignment="1">
      <alignment horizontal="right" indent="1"/>
    </xf>
    <xf numFmtId="0" fontId="13" fillId="3" borderId="5" xfId="9" applyNumberFormat="1" applyFont="1" applyFill="1" applyBorder="1" applyAlignment="1">
      <alignment horizontal="left" vertical="top" wrapText="1" indent="1"/>
    </xf>
    <xf numFmtId="0" fontId="10" fillId="0" borderId="1" xfId="5" applyFont="1" applyBorder="1" applyAlignment="1">
      <alignment horizontal="left" vertical="center" indent="1"/>
    </xf>
    <xf numFmtId="173" fontId="13" fillId="0" borderId="3" xfId="9" applyNumberFormat="1" applyFont="1" applyFill="1" applyBorder="1" applyAlignment="1">
      <alignment horizontal="right" vertical="center" indent="1"/>
    </xf>
    <xf numFmtId="173" fontId="13" fillId="0" borderId="1" xfId="9" applyNumberFormat="1" applyFont="1" applyFill="1" applyBorder="1" applyAlignment="1">
      <alignment horizontal="right" vertical="center" wrapText="1" indent="1"/>
    </xf>
    <xf numFmtId="173" fontId="13" fillId="0" borderId="3" xfId="5" applyNumberFormat="1" applyFont="1" applyFill="1" applyBorder="1" applyAlignment="1">
      <alignment horizontal="right" vertical="center" indent="1"/>
    </xf>
    <xf numFmtId="0" fontId="14" fillId="0" borderId="1" xfId="10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4" fillId="0" borderId="5" xfId="9" applyNumberFormat="1" applyFont="1" applyFill="1" applyBorder="1" applyAlignment="1">
      <alignment horizontal="center" vertical="top" wrapText="1"/>
    </xf>
    <xf numFmtId="0" fontId="14" fillId="0" borderId="7" xfId="9" applyNumberFormat="1" applyFont="1" applyFill="1" applyBorder="1" applyAlignment="1">
      <alignment horizontal="center" vertical="center" wrapText="1"/>
    </xf>
    <xf numFmtId="0" fontId="14" fillId="0" borderId="22" xfId="9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horizontal="left" indent="1"/>
    </xf>
    <xf numFmtId="166" fontId="15" fillId="3" borderId="1" xfId="8" applyNumberFormat="1" applyFont="1" applyFill="1" applyBorder="1" applyAlignment="1">
      <alignment horizontal="right" vertical="center" indent="1"/>
    </xf>
    <xf numFmtId="166" fontId="18" fillId="0" borderId="5" xfId="8" applyNumberFormat="1" applyFont="1" applyFill="1" applyBorder="1" applyAlignment="1">
      <alignment horizontal="right" vertical="center" wrapText="1" indent="1"/>
    </xf>
    <xf numFmtId="0" fontId="14" fillId="0" borderId="5" xfId="12" applyNumberFormat="1" applyFont="1" applyFill="1" applyBorder="1" applyAlignment="1">
      <alignment horizontal="center" vertical="center" wrapText="1"/>
    </xf>
    <xf numFmtId="0" fontId="14" fillId="0" borderId="5" xfId="13" applyNumberFormat="1" applyFont="1" applyFill="1" applyBorder="1" applyAlignment="1">
      <alignment horizontal="center" vertical="center" wrapText="1"/>
    </xf>
    <xf numFmtId="0" fontId="14" fillId="0" borderId="5" xfId="13" applyNumberFormat="1" applyFont="1" applyFill="1" applyBorder="1" applyAlignment="1">
      <alignment horizontal="center" vertical="top" wrapText="1"/>
    </xf>
    <xf numFmtId="0" fontId="14" fillId="0" borderId="5" xfId="11" applyFont="1" applyFill="1" applyBorder="1" applyAlignment="1">
      <alignment horizontal="left" vertical="center" wrapText="1" indent="1"/>
    </xf>
    <xf numFmtId="1" fontId="14" fillId="3" borderId="1" xfId="11" applyNumberFormat="1" applyFont="1" applyFill="1" applyBorder="1" applyAlignment="1">
      <alignment horizontal="left" vertical="center" wrapText="1" indent="1"/>
    </xf>
    <xf numFmtId="0" fontId="13" fillId="0" borderId="1" xfId="1" applyFont="1" applyFill="1" applyBorder="1" applyAlignment="1" applyProtection="1">
      <alignment horizontal="left" vertical="center" indent="1"/>
      <protection locked="0"/>
    </xf>
    <xf numFmtId="0" fontId="14" fillId="0" borderId="0" xfId="11" applyFont="1" applyFill="1" applyBorder="1" applyAlignment="1">
      <alignment horizontal="left" vertical="center" wrapText="1" indent="1"/>
    </xf>
    <xf numFmtId="0" fontId="13" fillId="0" borderId="23" xfId="1" applyFont="1" applyFill="1" applyBorder="1" applyAlignment="1" applyProtection="1">
      <alignment horizontal="left" vertical="center" indent="1"/>
      <protection locked="0"/>
    </xf>
    <xf numFmtId="0" fontId="13" fillId="0" borderId="0" xfId="1" applyFont="1" applyFill="1" applyBorder="1" applyAlignment="1" applyProtection="1">
      <alignment horizontal="left" vertical="center" indent="1"/>
      <protection locked="0"/>
    </xf>
    <xf numFmtId="0" fontId="18" fillId="0" borderId="5" xfId="11" applyFont="1" applyFill="1" applyBorder="1" applyAlignment="1">
      <alignment horizontal="left" vertical="center" wrapText="1" indent="1"/>
    </xf>
    <xf numFmtId="173" fontId="14" fillId="0" borderId="5" xfId="13" applyNumberFormat="1" applyFont="1" applyFill="1" applyBorder="1" applyAlignment="1">
      <alignment horizontal="right" vertical="center" wrapText="1" indent="1"/>
    </xf>
    <xf numFmtId="173" fontId="18" fillId="0" borderId="5" xfId="13" applyNumberFormat="1" applyFont="1" applyFill="1" applyBorder="1" applyAlignment="1">
      <alignment horizontal="right" vertical="center" wrapText="1" indent="1"/>
    </xf>
    <xf numFmtId="173" fontId="13" fillId="0" borderId="5" xfId="13" applyNumberFormat="1" applyFont="1" applyFill="1" applyBorder="1" applyAlignment="1">
      <alignment horizontal="righ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 indent="1"/>
    </xf>
    <xf numFmtId="1" fontId="14" fillId="3" borderId="1" xfId="0" applyNumberFormat="1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 indent="1"/>
    </xf>
    <xf numFmtId="173" fontId="14" fillId="0" borderId="1" xfId="29" applyNumberFormat="1" applyFont="1" applyBorder="1" applyAlignment="1">
      <alignment horizontal="right" indent="1"/>
    </xf>
    <xf numFmtId="173" fontId="14" fillId="0" borderId="1" xfId="28" applyNumberFormat="1" applyFont="1" applyBorder="1" applyAlignment="1">
      <alignment horizontal="right" indent="1"/>
    </xf>
    <xf numFmtId="173" fontId="14" fillId="3" borderId="1" xfId="29" applyNumberFormat="1" applyFont="1" applyFill="1" applyBorder="1" applyAlignment="1">
      <alignment horizontal="right" indent="1"/>
    </xf>
    <xf numFmtId="173" fontId="13" fillId="3" borderId="1" xfId="29" applyNumberFormat="1" applyFont="1" applyFill="1" applyBorder="1" applyAlignment="1">
      <alignment horizontal="right" indent="1"/>
    </xf>
    <xf numFmtId="173" fontId="13" fillId="0" borderId="1" xfId="28" applyNumberFormat="1" applyFont="1" applyBorder="1" applyAlignment="1">
      <alignment horizontal="right" indent="1"/>
    </xf>
    <xf numFmtId="173" fontId="10" fillId="3" borderId="1" xfId="29" applyNumberFormat="1" applyFont="1" applyFill="1" applyBorder="1" applyAlignment="1">
      <alignment horizontal="right" indent="1"/>
    </xf>
    <xf numFmtId="0" fontId="13" fillId="0" borderId="1" xfId="8" applyFont="1" applyBorder="1" applyAlignment="1">
      <alignment horizontal="left" vertical="top" wrapText="1" indent="1" shrinkToFit="1"/>
    </xf>
    <xf numFmtId="170" fontId="10" fillId="0" borderId="1" xfId="19" applyNumberFormat="1" applyFont="1" applyFill="1" applyBorder="1" applyAlignment="1" applyProtection="1">
      <alignment horizontal="left" vertical="top" wrapText="1" indent="1"/>
      <protection locked="0"/>
    </xf>
    <xf numFmtId="173" fontId="13" fillId="0" borderId="1" xfId="19" applyNumberFormat="1" applyFont="1" applyFill="1" applyBorder="1" applyAlignment="1">
      <alignment horizontal="right" vertical="top" wrapText="1" indent="1"/>
    </xf>
    <xf numFmtId="173" fontId="10" fillId="0" borderId="1" xfId="19" applyNumberFormat="1" applyFont="1" applyFill="1" applyBorder="1" applyAlignment="1">
      <alignment horizontal="right" vertical="top" wrapText="1" indent="1"/>
    </xf>
    <xf numFmtId="0" fontId="14" fillId="0" borderId="7" xfId="10" applyNumberFormat="1" applyFont="1" applyFill="1" applyBorder="1" applyAlignment="1">
      <alignment horizontal="center" vertical="center" wrapText="1"/>
    </xf>
    <xf numFmtId="0" fontId="14" fillId="0" borderId="7" xfId="8" applyFont="1" applyFill="1" applyBorder="1" applyAlignment="1">
      <alignment horizontal="left" vertical="top" wrapText="1" indent="1"/>
    </xf>
    <xf numFmtId="166" fontId="15" fillId="0" borderId="3" xfId="8" applyNumberFormat="1" applyFont="1" applyFill="1" applyBorder="1" applyAlignment="1">
      <alignment horizontal="right" vertical="center" indent="2"/>
    </xf>
    <xf numFmtId="0" fontId="14" fillId="0" borderId="1" xfId="8" applyFont="1" applyFill="1" applyBorder="1" applyAlignment="1">
      <alignment horizontal="left" vertical="top" wrapText="1" indent="1"/>
    </xf>
    <xf numFmtId="166" fontId="14" fillId="3" borderId="1" xfId="26" applyNumberFormat="1" applyFont="1" applyFill="1" applyBorder="1" applyAlignment="1">
      <alignment horizontal="right" vertical="center" wrapText="1" indent="1"/>
    </xf>
    <xf numFmtId="166" fontId="14" fillId="3" borderId="1" xfId="26" applyNumberFormat="1" applyFont="1" applyFill="1" applyBorder="1" applyAlignment="1">
      <alignment horizontal="right" wrapText="1" indent="1"/>
    </xf>
    <xf numFmtId="0" fontId="17" fillId="3" borderId="0" xfId="31" applyFont="1" applyFill="1"/>
    <xf numFmtId="0" fontId="14" fillId="3" borderId="1" xfId="31" applyFont="1" applyFill="1" applyBorder="1" applyAlignment="1">
      <alignment horizontal="center" vertical="center"/>
    </xf>
    <xf numFmtId="0" fontId="14" fillId="3" borderId="1" xfId="31" applyFont="1" applyFill="1" applyBorder="1" applyAlignment="1">
      <alignment horizontal="center" vertical="center" wrapText="1"/>
    </xf>
    <xf numFmtId="0" fontId="14" fillId="3" borderId="0" xfId="31" applyFont="1" applyFill="1" applyAlignment="1">
      <alignment vertical="center"/>
    </xf>
    <xf numFmtId="0" fontId="14" fillId="3" borderId="1" xfId="31" applyFont="1" applyFill="1" applyBorder="1" applyAlignment="1">
      <alignment horizontal="center" vertical="top"/>
    </xf>
    <xf numFmtId="0" fontId="15" fillId="0" borderId="1" xfId="31" applyFont="1" applyBorder="1" applyAlignment="1">
      <alignment horizontal="left" vertical="center" wrapText="1" indent="1"/>
    </xf>
    <xf numFmtId="166" fontId="14" fillId="3" borderId="8" xfId="31" applyNumberFormat="1" applyFont="1" applyFill="1" applyBorder="1" applyAlignment="1">
      <alignment horizontal="right" vertical="center" wrapText="1" indent="1"/>
    </xf>
    <xf numFmtId="166" fontId="14" fillId="3" borderId="1" xfId="31" applyNumberFormat="1" applyFont="1" applyFill="1" applyBorder="1" applyAlignment="1">
      <alignment horizontal="right" vertical="center" wrapText="1" indent="1"/>
    </xf>
    <xf numFmtId="0" fontId="14" fillId="3" borderId="0" xfId="31" applyFont="1" applyFill="1"/>
    <xf numFmtId="0" fontId="13" fillId="3" borderId="0" xfId="31" applyFont="1" applyFill="1" applyAlignment="1">
      <alignment horizontal="left" vertical="top"/>
    </xf>
    <xf numFmtId="0" fontId="14" fillId="3" borderId="0" xfId="31" applyFont="1" applyFill="1" applyAlignment="1">
      <alignment vertical="top"/>
    </xf>
    <xf numFmtId="0" fontId="14" fillId="3" borderId="0" xfId="31" applyFont="1" applyFill="1" applyAlignment="1">
      <alignment horizontal="left" vertical="top"/>
    </xf>
    <xf numFmtId="0" fontId="18" fillId="3" borderId="1" xfId="31" applyFont="1" applyFill="1" applyBorder="1" applyAlignment="1">
      <alignment horizontal="center" vertical="top"/>
    </xf>
    <xf numFmtId="0" fontId="10" fillId="3" borderId="1" xfId="31" applyFont="1" applyFill="1" applyBorder="1" applyAlignment="1">
      <alignment horizontal="left" vertical="center" wrapText="1" indent="1"/>
    </xf>
    <xf numFmtId="166" fontId="10" fillId="3" borderId="1" xfId="31" applyNumberFormat="1" applyFont="1" applyFill="1" applyBorder="1" applyAlignment="1">
      <alignment horizontal="right" vertical="center" wrapText="1" indent="1"/>
    </xf>
    <xf numFmtId="0" fontId="18" fillId="3" borderId="0" xfId="31" applyFont="1" applyFill="1" applyAlignment="1">
      <alignment vertical="center"/>
    </xf>
    <xf numFmtId="0" fontId="10" fillId="3" borderId="0" xfId="31" applyFont="1" applyFill="1" applyAlignment="1">
      <alignment vertical="center"/>
    </xf>
    <xf numFmtId="166" fontId="13" fillId="3" borderId="1" xfId="31" applyNumberFormat="1" applyFont="1" applyFill="1" applyBorder="1" applyAlignment="1">
      <alignment horizontal="right" vertical="center" wrapText="1" indent="1"/>
    </xf>
    <xf numFmtId="166" fontId="18" fillId="3" borderId="1" xfId="31" applyNumberFormat="1" applyFont="1" applyFill="1" applyBorder="1" applyAlignment="1">
      <alignment horizontal="right" vertical="center" wrapText="1" indent="1"/>
    </xf>
    <xf numFmtId="0" fontId="14" fillId="3" borderId="0" xfId="31" applyFont="1" applyFill="1" applyAlignment="1">
      <alignment horizontal="center" vertical="top"/>
    </xf>
    <xf numFmtId="0" fontId="14" fillId="3" borderId="0" xfId="31" applyFont="1" applyFill="1" applyBorder="1" applyAlignment="1">
      <alignment horizontal="left" vertical="top" wrapText="1"/>
    </xf>
    <xf numFmtId="0" fontId="13" fillId="3" borderId="0" xfId="31" applyFont="1" applyFill="1" applyBorder="1" applyAlignment="1">
      <alignment horizontal="left" vertical="top" wrapText="1"/>
    </xf>
    <xf numFmtId="0" fontId="14" fillId="3" borderId="0" xfId="31" applyFont="1" applyFill="1" applyBorder="1" applyAlignment="1">
      <alignment horizontal="left" vertical="top"/>
    </xf>
    <xf numFmtId="0" fontId="14" fillId="3" borderId="0" xfId="32" applyFont="1" applyFill="1" applyBorder="1" applyAlignment="1">
      <alignment horizontal="left" vertical="top" wrapText="1"/>
    </xf>
    <xf numFmtId="0" fontId="17" fillId="3" borderId="0" xfId="31" applyFont="1" applyFill="1" applyBorder="1" applyAlignment="1">
      <alignment horizontal="left"/>
    </xf>
    <xf numFmtId="165" fontId="13" fillId="0" borderId="1" xfId="9" applyNumberFormat="1" applyFont="1" applyBorder="1" applyAlignment="1">
      <alignment horizontal="right" vertical="center"/>
    </xf>
    <xf numFmtId="165" fontId="10" fillId="0" borderId="1" xfId="9" applyNumberFormat="1" applyFont="1" applyBorder="1" applyAlignment="1">
      <alignment horizontal="right" vertical="center"/>
    </xf>
    <xf numFmtId="165" fontId="13" fillId="0" borderId="1" xfId="9" applyNumberFormat="1" applyFont="1" applyFill="1" applyBorder="1" applyAlignment="1">
      <alignment horizontal="right" vertical="center" indent="1"/>
    </xf>
    <xf numFmtId="165" fontId="10" fillId="0" borderId="1" xfId="9" applyNumberFormat="1" applyFont="1" applyFill="1" applyBorder="1" applyAlignment="1">
      <alignment horizontal="right" vertical="center" indent="1"/>
    </xf>
    <xf numFmtId="173" fontId="10" fillId="0" borderId="1" xfId="9" applyNumberFormat="1" applyFont="1" applyFill="1" applyBorder="1" applyAlignment="1">
      <alignment horizontal="right" vertical="center" inden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0" xfId="5" applyFont="1" applyFill="1"/>
    <xf numFmtId="0" fontId="31" fillId="0" borderId="0" xfId="5" applyFont="1" applyFill="1" applyAlignment="1"/>
    <xf numFmtId="1" fontId="32" fillId="0" borderId="1" xfId="177" applyNumberFormat="1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 wrapText="1"/>
    </xf>
    <xf numFmtId="0" fontId="13" fillId="0" borderId="0" xfId="5" applyFont="1" applyFill="1" applyAlignment="1"/>
    <xf numFmtId="0" fontId="13" fillId="0" borderId="1" xfId="5" applyFont="1" applyFill="1" applyBorder="1" applyAlignment="1">
      <alignment horizontal="center"/>
    </xf>
    <xf numFmtId="0" fontId="33" fillId="0" borderId="1" xfId="5" applyFont="1" applyFill="1" applyBorder="1" applyAlignment="1">
      <alignment horizontal="left" indent="1"/>
    </xf>
    <xf numFmtId="166" fontId="14" fillId="0" borderId="1" xfId="178" applyNumberFormat="1" applyFont="1" applyFill="1" applyBorder="1" applyAlignment="1">
      <alignment horizontal="right" indent="1"/>
    </xf>
    <xf numFmtId="166" fontId="14" fillId="0" borderId="1" xfId="177" applyNumberFormat="1" applyFont="1" applyFill="1" applyBorder="1" applyAlignment="1">
      <alignment horizontal="right" indent="1"/>
    </xf>
    <xf numFmtId="166" fontId="13" fillId="0" borderId="1" xfId="178" applyNumberFormat="1" applyFont="1" applyFill="1" applyBorder="1" applyAlignment="1">
      <alignment horizontal="right" indent="1"/>
    </xf>
    <xf numFmtId="166" fontId="10" fillId="0" borderId="1" xfId="178" applyNumberFormat="1" applyFont="1" applyFill="1" applyBorder="1" applyAlignment="1">
      <alignment horizontal="right" indent="1"/>
    </xf>
    <xf numFmtId="166" fontId="10" fillId="0" borderId="1" xfId="179" applyNumberFormat="1" applyFont="1" applyFill="1" applyBorder="1" applyAlignment="1">
      <alignment horizontal="right" vertical="center" indent="1"/>
    </xf>
    <xf numFmtId="166" fontId="18" fillId="0" borderId="1" xfId="177" applyNumberFormat="1" applyFont="1" applyFill="1" applyBorder="1" applyAlignment="1">
      <alignment horizontal="right" indent="1"/>
    </xf>
    <xf numFmtId="177" fontId="13" fillId="0" borderId="0" xfId="5" applyNumberFormat="1" applyFont="1" applyFill="1"/>
    <xf numFmtId="1" fontId="14" fillId="0" borderId="1" xfId="177" applyNumberFormat="1" applyFont="1" applyFill="1" applyBorder="1" applyAlignment="1">
      <alignment horizontal="center" vertical="center" wrapText="1"/>
    </xf>
    <xf numFmtId="166" fontId="14" fillId="0" borderId="1" xfId="178" applyNumberFormat="1" applyFont="1" applyBorder="1" applyAlignment="1">
      <alignment horizontal="right" indent="1"/>
    </xf>
    <xf numFmtId="166" fontId="14" fillId="0" borderId="1" xfId="177" applyNumberFormat="1" applyFont="1" applyBorder="1" applyAlignment="1">
      <alignment horizontal="right" indent="1"/>
    </xf>
    <xf numFmtId="166" fontId="13" fillId="0" borderId="1" xfId="179" applyNumberFormat="1" applyFont="1" applyFill="1" applyBorder="1" applyAlignment="1">
      <alignment horizontal="right" vertical="center" indent="1"/>
    </xf>
    <xf numFmtId="166" fontId="14" fillId="3" borderId="1" xfId="178" applyNumberFormat="1" applyFont="1" applyFill="1" applyBorder="1" applyAlignment="1">
      <alignment horizontal="right" indent="1"/>
    </xf>
    <xf numFmtId="166" fontId="13" fillId="3" borderId="1" xfId="178" applyNumberFormat="1" applyFont="1" applyFill="1" applyBorder="1" applyAlignment="1">
      <alignment horizontal="right" indent="1"/>
    </xf>
    <xf numFmtId="166" fontId="10" fillId="3" borderId="1" xfId="178" applyNumberFormat="1" applyFont="1" applyFill="1" applyBorder="1" applyAlignment="1">
      <alignment horizontal="right" indent="1"/>
    </xf>
    <xf numFmtId="166" fontId="18" fillId="0" borderId="1" xfId="177" applyNumberFormat="1" applyFont="1" applyBorder="1" applyAlignment="1">
      <alignment horizontal="right" inden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 indent="1"/>
    </xf>
    <xf numFmtId="166" fontId="14" fillId="3" borderId="1" xfId="0" applyNumberFormat="1" applyFont="1" applyFill="1" applyBorder="1" applyAlignment="1">
      <alignment horizontal="right" indent="1"/>
    </xf>
    <xf numFmtId="166" fontId="13" fillId="0" borderId="1" xfId="0" applyNumberFormat="1" applyFont="1" applyFill="1" applyBorder="1" applyAlignment="1">
      <alignment horizontal="right" vertical="center" indent="1"/>
    </xf>
    <xf numFmtId="166" fontId="18" fillId="0" borderId="1" xfId="0" applyNumberFormat="1" applyFont="1" applyBorder="1" applyAlignment="1">
      <alignment horizontal="right" indent="1"/>
    </xf>
    <xf numFmtId="0" fontId="13" fillId="0" borderId="1" xfId="180" applyFont="1" applyFill="1" applyBorder="1" applyAlignment="1">
      <alignment horizontal="center" vertical="center" wrapText="1"/>
    </xf>
    <xf numFmtId="0" fontId="15" fillId="0" borderId="1" xfId="180" applyFont="1" applyFill="1" applyBorder="1" applyAlignment="1">
      <alignment horizontal="left" vertical="center" wrapText="1" indent="1"/>
    </xf>
    <xf numFmtId="176" fontId="15" fillId="0" borderId="1" xfId="181" applyNumberFormat="1" applyFont="1" applyBorder="1" applyAlignment="1">
      <alignment horizontal="right" vertical="center" indent="1"/>
    </xf>
    <xf numFmtId="176" fontId="13" fillId="0" borderId="1" xfId="181" applyNumberFormat="1" applyFont="1" applyBorder="1" applyAlignment="1">
      <alignment horizontal="right" vertical="center" indent="1"/>
    </xf>
    <xf numFmtId="176" fontId="16" fillId="0" borderId="1" xfId="181" applyNumberFormat="1" applyFont="1" applyBorder="1" applyAlignment="1">
      <alignment horizontal="right" vertical="center" indent="1"/>
    </xf>
    <xf numFmtId="0" fontId="15" fillId="0" borderId="1" xfId="8" applyFont="1" applyFill="1" applyBorder="1" applyAlignment="1">
      <alignment horizontal="left" vertical="center" wrapText="1"/>
    </xf>
    <xf numFmtId="176" fontId="15" fillId="0" borderId="1" xfId="9" applyNumberFormat="1" applyFont="1" applyBorder="1" applyAlignment="1">
      <alignment vertical="center"/>
    </xf>
    <xf numFmtId="176" fontId="13" fillId="0" borderId="1" xfId="9" applyNumberFormat="1" applyFont="1" applyBorder="1" applyAlignment="1">
      <alignment vertical="center"/>
    </xf>
    <xf numFmtId="176" fontId="13" fillId="0" borderId="1" xfId="9" applyNumberFormat="1" applyFont="1" applyFill="1" applyBorder="1" applyAlignment="1">
      <alignment vertical="center"/>
    </xf>
    <xf numFmtId="176" fontId="16" fillId="0" borderId="1" xfId="9" applyNumberFormat="1" applyFont="1" applyBorder="1" applyAlignment="1">
      <alignment vertical="center"/>
    </xf>
    <xf numFmtId="170" fontId="14" fillId="0" borderId="5" xfId="13" applyNumberFormat="1" applyFont="1" applyFill="1" applyBorder="1" applyAlignment="1">
      <alignment vertical="center" wrapText="1"/>
    </xf>
    <xf numFmtId="170" fontId="18" fillId="0" borderId="5" xfId="13" applyNumberFormat="1" applyFont="1" applyFill="1" applyBorder="1" applyAlignment="1">
      <alignment vertical="center" wrapText="1"/>
    </xf>
    <xf numFmtId="165" fontId="13" fillId="0" borderId="1" xfId="13" applyNumberFormat="1" applyFont="1" applyBorder="1" applyAlignment="1">
      <alignment vertical="center"/>
    </xf>
    <xf numFmtId="170" fontId="13" fillId="0" borderId="5" xfId="13" applyNumberFormat="1" applyFont="1" applyFill="1" applyBorder="1" applyAlignment="1">
      <alignment vertical="center" wrapText="1"/>
    </xf>
    <xf numFmtId="173" fontId="13" fillId="0" borderId="1" xfId="13" applyNumberFormat="1" applyFont="1" applyBorder="1" applyAlignment="1">
      <alignment vertical="center"/>
    </xf>
    <xf numFmtId="0" fontId="10" fillId="0" borderId="0" xfId="1" applyFont="1" applyAlignment="1">
      <alignment horizontal="right" vertical="top" wrapText="1"/>
    </xf>
    <xf numFmtId="0" fontId="13" fillId="0" borderId="0" xfId="1" applyFont="1" applyAlignment="1">
      <alignment horizontal="right" vertical="top" wrapText="1"/>
    </xf>
    <xf numFmtId="0" fontId="10" fillId="0" borderId="0" xfId="1" applyFont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0" fontId="14" fillId="0" borderId="24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3" borderId="2" xfId="11" applyFont="1" applyFill="1" applyBorder="1" applyAlignment="1">
      <alignment horizontal="center" vertical="center" wrapText="1"/>
    </xf>
    <xf numFmtId="0" fontId="14" fillId="3" borderId="3" xfId="11" applyFont="1" applyFill="1" applyBorder="1" applyAlignment="1">
      <alignment horizontal="center" vertical="center" wrapText="1"/>
    </xf>
    <xf numFmtId="0" fontId="14" fillId="3" borderId="10" xfId="11" applyFont="1" applyFill="1" applyBorder="1" applyAlignment="1">
      <alignment horizontal="center" vertical="center" wrapText="1"/>
    </xf>
    <xf numFmtId="0" fontId="14" fillId="3" borderId="8" xfId="11" applyFont="1" applyFill="1" applyBorder="1" applyAlignment="1">
      <alignment horizontal="center" vertical="center" wrapText="1"/>
    </xf>
    <xf numFmtId="0" fontId="18" fillId="3" borderId="0" xfId="11" applyFont="1" applyFill="1" applyAlignment="1">
      <alignment horizontal="right" vertical="center" wrapText="1"/>
    </xf>
    <xf numFmtId="0" fontId="18" fillId="0" borderId="0" xfId="11" applyFont="1" applyFill="1" applyAlignment="1">
      <alignment horizontal="center" vertical="center" wrapText="1"/>
    </xf>
    <xf numFmtId="0" fontId="14" fillId="3" borderId="2" xfId="11" applyFont="1" applyFill="1" applyBorder="1" applyAlignment="1">
      <alignment horizontal="center" vertical="center"/>
    </xf>
    <xf numFmtId="0" fontId="14" fillId="3" borderId="14" xfId="11" applyFont="1" applyFill="1" applyBorder="1" applyAlignment="1">
      <alignment horizontal="center" vertical="center"/>
    </xf>
    <xf numFmtId="0" fontId="14" fillId="3" borderId="3" xfId="11" applyFont="1" applyFill="1" applyBorder="1" applyAlignment="1">
      <alignment horizontal="center" vertical="center"/>
    </xf>
    <xf numFmtId="0" fontId="14" fillId="3" borderId="14" xfId="11" applyFont="1" applyFill="1" applyBorder="1" applyAlignment="1">
      <alignment horizontal="center" vertical="center" wrapText="1"/>
    </xf>
    <xf numFmtId="0" fontId="13" fillId="0" borderId="0" xfId="6" applyFont="1" applyAlignment="1">
      <alignment horizontal="left" vertical="center"/>
    </xf>
    <xf numFmtId="0" fontId="13" fillId="0" borderId="0" xfId="6" applyFont="1" applyAlignment="1">
      <alignment horizontal="justify" vertical="center" wrapText="1"/>
    </xf>
    <xf numFmtId="0" fontId="13" fillId="0" borderId="0" xfId="6" applyFont="1" applyAlignment="1">
      <alignment horizontal="justify" vertical="center"/>
    </xf>
    <xf numFmtId="0" fontId="10" fillId="0" borderId="0" xfId="5" applyFont="1" applyAlignment="1">
      <alignment horizontal="right" vertical="center" wrapText="1"/>
    </xf>
    <xf numFmtId="0" fontId="10" fillId="0" borderId="0" xfId="5" applyFont="1" applyFill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4" fillId="0" borderId="8" xfId="8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4" fillId="0" borderId="10" xfId="8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left" vertical="center" wrapText="1"/>
    </xf>
    <xf numFmtId="0" fontId="10" fillId="0" borderId="4" xfId="8" applyFont="1" applyFill="1" applyBorder="1" applyAlignment="1">
      <alignment horizontal="right" vertical="center"/>
    </xf>
    <xf numFmtId="166" fontId="13" fillId="0" borderId="0" xfId="8" applyNumberFormat="1" applyFont="1" applyFill="1" applyBorder="1" applyAlignment="1">
      <alignment horizontal="left"/>
    </xf>
    <xf numFmtId="0" fontId="10" fillId="0" borderId="0" xfId="8" applyFont="1" applyFill="1" applyAlignment="1">
      <alignment horizontal="right" vertical="center" wrapText="1"/>
    </xf>
    <xf numFmtId="0" fontId="10" fillId="0" borderId="12" xfId="1" applyFont="1" applyFill="1" applyBorder="1" applyAlignment="1">
      <alignment horizontal="center" vertical="top" wrapText="1"/>
    </xf>
    <xf numFmtId="0" fontId="13" fillId="0" borderId="1" xfId="8" applyNumberFormat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center" vertical="center" wrapText="1"/>
    </xf>
    <xf numFmtId="0" fontId="16" fillId="0" borderId="4" xfId="8" applyFont="1" applyFill="1" applyBorder="1" applyAlignment="1">
      <alignment horizontal="left" vertical="center" wrapText="1"/>
    </xf>
    <xf numFmtId="0" fontId="16" fillId="0" borderId="4" xfId="8" applyFont="1" applyFill="1" applyBorder="1" applyAlignment="1">
      <alignment horizontal="right" vertical="center"/>
    </xf>
    <xf numFmtId="166" fontId="14" fillId="0" borderId="0" xfId="8" applyNumberFormat="1" applyFont="1" applyFill="1" applyBorder="1" applyAlignment="1">
      <alignment horizontal="left"/>
    </xf>
    <xf numFmtId="0" fontId="10" fillId="0" borderId="0" xfId="8" applyFont="1" applyFill="1" applyAlignment="1">
      <alignment horizontal="right" vertical="top" wrapText="1"/>
    </xf>
    <xf numFmtId="0" fontId="10" fillId="0" borderId="1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0" fontId="18" fillId="0" borderId="10" xfId="5" applyFont="1" applyFill="1" applyBorder="1" applyAlignment="1">
      <alignment horizontal="left"/>
    </xf>
    <xf numFmtId="0" fontId="18" fillId="0" borderId="8" xfId="5" applyFont="1" applyFill="1" applyBorder="1" applyAlignment="1">
      <alignment horizontal="left"/>
    </xf>
    <xf numFmtId="0" fontId="16" fillId="0" borderId="4" xfId="175" applyFont="1" applyFill="1" applyBorder="1" applyAlignment="1">
      <alignment horizontal="left" vertical="center" wrapText="1"/>
    </xf>
    <xf numFmtId="166" fontId="14" fillId="0" borderId="0" xfId="175" applyNumberFormat="1" applyFont="1" applyFill="1" applyBorder="1" applyAlignment="1">
      <alignment horizontal="left"/>
    </xf>
    <xf numFmtId="0" fontId="18" fillId="0" borderId="0" xfId="175" applyFont="1" applyFill="1" applyAlignment="1">
      <alignment horizontal="right" wrapText="1"/>
    </xf>
    <xf numFmtId="0" fontId="14" fillId="0" borderId="0" xfId="175" applyFont="1" applyFill="1" applyAlignment="1">
      <alignment horizontal="right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left"/>
    </xf>
    <xf numFmtId="0" fontId="10" fillId="2" borderId="0" xfId="2" applyFont="1" applyFill="1" applyAlignment="1">
      <alignment horizontal="center" vertical="top" wrapText="1"/>
    </xf>
    <xf numFmtId="0" fontId="13" fillId="0" borderId="1" xfId="2" applyNumberFormat="1" applyFont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horizontal="center" vertical="center" wrapText="1"/>
    </xf>
    <xf numFmtId="0" fontId="10" fillId="2" borderId="0" xfId="8" applyFont="1" applyFill="1" applyAlignment="1">
      <alignment horizontal="right" vertical="top" wrapText="1"/>
    </xf>
    <xf numFmtId="0" fontId="10" fillId="2" borderId="0" xfId="8" applyFont="1" applyFill="1" applyAlignment="1">
      <alignment horizontal="center" vertical="top" wrapText="1"/>
    </xf>
    <xf numFmtId="0" fontId="13" fillId="0" borderId="1" xfId="8" applyNumberFormat="1" applyFont="1" applyBorder="1" applyAlignment="1">
      <alignment horizontal="center" vertical="center" wrapText="1"/>
    </xf>
    <xf numFmtId="0" fontId="13" fillId="3" borderId="1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right" vertical="center" wrapText="1"/>
    </xf>
    <xf numFmtId="0" fontId="18" fillId="0" borderId="0" xfId="8" applyFont="1" applyFill="1" applyAlignment="1">
      <alignment horizontal="center" vertical="top" wrapText="1"/>
    </xf>
    <xf numFmtId="0" fontId="14" fillId="0" borderId="5" xfId="8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top" wrapText="1"/>
    </xf>
    <xf numFmtId="0" fontId="14" fillId="0" borderId="2" xfId="10" applyNumberFormat="1" applyFont="1" applyFill="1" applyBorder="1" applyAlignment="1">
      <alignment horizontal="center" vertical="center" wrapText="1"/>
    </xf>
    <xf numFmtId="0" fontId="14" fillId="0" borderId="3" xfId="1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11" applyFont="1" applyFill="1" applyAlignment="1">
      <alignment horizontal="right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4" fillId="0" borderId="5" xfId="11" applyFont="1" applyFill="1" applyBorder="1" applyAlignment="1">
      <alignment horizontal="center" vertical="center" wrapText="1"/>
    </xf>
    <xf numFmtId="0" fontId="14" fillId="0" borderId="5" xfId="11" applyFont="1" applyFill="1" applyBorder="1" applyAlignment="1">
      <alignment horizontal="center" vertical="top" wrapText="1"/>
    </xf>
    <xf numFmtId="0" fontId="14" fillId="0" borderId="16" xfId="12" applyNumberFormat="1" applyFont="1" applyFill="1" applyBorder="1" applyAlignment="1">
      <alignment horizontal="center" vertical="center" wrapText="1"/>
    </xf>
    <xf numFmtId="0" fontId="14" fillId="0" borderId="7" xfId="12" applyNumberFormat="1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horizontal="center" vertical="center" wrapText="1"/>
    </xf>
    <xf numFmtId="0" fontId="14" fillId="0" borderId="19" xfId="1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 vertical="top" wrapText="1"/>
    </xf>
    <xf numFmtId="0" fontId="14" fillId="0" borderId="0" xfId="8" applyFont="1" applyFill="1" applyAlignment="1">
      <alignment horizontal="right" vertical="top" wrapText="1"/>
    </xf>
    <xf numFmtId="0" fontId="10" fillId="0" borderId="12" xfId="8" applyFont="1" applyFill="1" applyBorder="1" applyAlignment="1">
      <alignment horizontal="center" vertical="center" wrapText="1"/>
    </xf>
    <xf numFmtId="0" fontId="14" fillId="0" borderId="24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right" vertical="top" wrapText="1"/>
    </xf>
    <xf numFmtId="0" fontId="13" fillId="0" borderId="12" xfId="5" applyFont="1" applyFill="1" applyBorder="1" applyAlignment="1">
      <alignment horizontal="right" vertical="top"/>
    </xf>
    <xf numFmtId="0" fontId="13" fillId="0" borderId="2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/>
    </xf>
    <xf numFmtId="0" fontId="13" fillId="0" borderId="3" xfId="7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/>
    </xf>
    <xf numFmtId="0" fontId="13" fillId="0" borderId="1" xfId="176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left" vertical="center" indent="1"/>
    </xf>
    <xf numFmtId="0" fontId="28" fillId="0" borderId="10" xfId="5" applyFont="1" applyFill="1" applyBorder="1" applyAlignment="1">
      <alignment horizontal="left" indent="1"/>
    </xf>
    <xf numFmtId="0" fontId="28" fillId="0" borderId="8" xfId="5" applyFont="1" applyFill="1" applyBorder="1" applyAlignment="1">
      <alignment horizontal="left" indent="1"/>
    </xf>
    <xf numFmtId="0" fontId="28" fillId="0" borderId="1" xfId="5" applyFont="1" applyFill="1" applyBorder="1" applyAlignment="1">
      <alignment horizontal="left" indent="1"/>
    </xf>
    <xf numFmtId="0" fontId="10" fillId="0" borderId="0" xfId="5" applyFont="1" applyFill="1" applyAlignment="1">
      <alignment horizontal="center" vertical="top" wrapText="1"/>
    </xf>
    <xf numFmtId="0" fontId="31" fillId="0" borderId="2" xfId="5" applyFont="1" applyFill="1" applyBorder="1" applyAlignment="1">
      <alignment horizontal="center" vertical="center" wrapText="1"/>
    </xf>
    <xf numFmtId="0" fontId="31" fillId="0" borderId="14" xfId="5" applyFont="1" applyFill="1" applyBorder="1" applyAlignment="1">
      <alignment horizontal="center" vertical="center" wrapText="1"/>
    </xf>
    <xf numFmtId="0" fontId="31" fillId="0" borderId="3" xfId="5" applyFont="1" applyFill="1" applyBorder="1" applyAlignment="1">
      <alignment horizontal="center" vertical="center"/>
    </xf>
    <xf numFmtId="0" fontId="31" fillId="0" borderId="3" xfId="7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/>
    </xf>
    <xf numFmtId="0" fontId="31" fillId="0" borderId="1" xfId="176" applyFont="1" applyFill="1" applyBorder="1" applyAlignment="1">
      <alignment horizontal="center" vertical="center" wrapText="1"/>
    </xf>
    <xf numFmtId="0" fontId="10" fillId="0" borderId="0" xfId="28" applyFont="1" applyFill="1" applyAlignment="1">
      <alignment horizontal="right" vertical="top" wrapText="1"/>
    </xf>
    <xf numFmtId="0" fontId="13" fillId="0" borderId="1" xfId="28" applyNumberFormat="1" applyFont="1" applyFill="1" applyBorder="1" applyAlignment="1">
      <alignment horizontal="center" vertical="center" wrapText="1"/>
    </xf>
    <xf numFmtId="0" fontId="10" fillId="0" borderId="1" xfId="28" applyNumberFormat="1" applyFont="1" applyFill="1" applyBorder="1" applyAlignment="1">
      <alignment horizontal="left" indent="1"/>
    </xf>
    <xf numFmtId="0" fontId="10" fillId="2" borderId="0" xfId="28" applyFont="1" applyFill="1" applyAlignment="1">
      <alignment horizontal="right" vertical="top" wrapText="1"/>
    </xf>
    <xf numFmtId="166" fontId="14" fillId="0" borderId="0" xfId="28" applyNumberFormat="1" applyFont="1" applyFill="1" applyBorder="1" applyAlignment="1">
      <alignment horizontal="left"/>
    </xf>
    <xf numFmtId="0" fontId="16" fillId="0" borderId="4" xfId="28" applyFont="1" applyFill="1" applyBorder="1" applyAlignment="1">
      <alignment horizontal="left" vertical="center" wrapText="1"/>
    </xf>
    <xf numFmtId="0" fontId="16" fillId="0" borderId="4" xfId="28" applyFont="1" applyFill="1" applyBorder="1" applyAlignment="1">
      <alignment horizontal="right" vertical="center"/>
    </xf>
    <xf numFmtId="0" fontId="13" fillId="0" borderId="1" xfId="28" applyNumberFormat="1" applyFont="1" applyBorder="1" applyAlignment="1">
      <alignment horizontal="center" vertical="center" wrapText="1"/>
    </xf>
    <xf numFmtId="0" fontId="13" fillId="3" borderId="1" xfId="28" applyNumberFormat="1" applyFont="1" applyFill="1" applyBorder="1" applyAlignment="1">
      <alignment horizontal="center" vertical="center" wrapText="1"/>
    </xf>
    <xf numFmtId="0" fontId="10" fillId="0" borderId="0" xfId="8" applyFont="1" applyAlignment="1">
      <alignment horizontal="right" vertical="center" wrapText="1"/>
    </xf>
    <xf numFmtId="0" fontId="13" fillId="0" borderId="0" xfId="8" applyFont="1" applyAlignment="1">
      <alignment horizontal="right" vertical="center" wrapText="1"/>
    </xf>
    <xf numFmtId="0" fontId="10" fillId="0" borderId="0" xfId="8" applyFont="1" applyAlignment="1">
      <alignment horizontal="center" vertical="top" wrapText="1"/>
    </xf>
    <xf numFmtId="0" fontId="14" fillId="0" borderId="1" xfId="8" applyFont="1" applyBorder="1" applyAlignment="1">
      <alignment horizontal="center" vertical="center" wrapText="1" shrinkToFit="1"/>
    </xf>
    <xf numFmtId="0" fontId="10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center" wrapText="1"/>
    </xf>
    <xf numFmtId="0" fontId="18" fillId="3" borderId="0" xfId="20" applyFont="1" applyFill="1" applyAlignment="1">
      <alignment horizontal="right" vertical="center" wrapText="1"/>
    </xf>
    <xf numFmtId="0" fontId="18" fillId="3" borderId="0" xfId="20" applyFont="1" applyFill="1" applyAlignment="1">
      <alignment horizontal="center" vertical="center" wrapText="1"/>
    </xf>
    <xf numFmtId="0" fontId="14" fillId="3" borderId="5" xfId="20" applyFont="1" applyFill="1" applyBorder="1" applyAlignment="1">
      <alignment horizontal="center" vertical="center" wrapText="1"/>
    </xf>
    <xf numFmtId="0" fontId="14" fillId="3" borderId="16" xfId="20" applyFont="1" applyFill="1" applyBorder="1" applyAlignment="1">
      <alignment horizontal="center" vertical="center" wrapText="1"/>
    </xf>
    <xf numFmtId="0" fontId="14" fillId="3" borderId="6" xfId="20" applyFont="1" applyFill="1" applyBorder="1" applyAlignment="1">
      <alignment horizontal="center" vertical="center" wrapText="1"/>
    </xf>
    <xf numFmtId="0" fontId="14" fillId="3" borderId="17" xfId="20" applyFont="1" applyFill="1" applyBorder="1" applyAlignment="1">
      <alignment horizontal="center" vertical="top" wrapText="1"/>
    </xf>
    <xf numFmtId="0" fontId="14" fillId="3" borderId="1" xfId="20" applyFont="1" applyFill="1" applyBorder="1" applyAlignment="1">
      <alignment horizontal="center" vertical="center" wrapText="1"/>
    </xf>
    <xf numFmtId="0" fontId="14" fillId="3" borderId="2" xfId="21" applyNumberFormat="1" applyFont="1" applyFill="1" applyBorder="1" applyAlignment="1">
      <alignment horizontal="center" vertical="center" wrapText="1"/>
    </xf>
    <xf numFmtId="0" fontId="14" fillId="3" borderId="14" xfId="21" applyNumberFormat="1" applyFont="1" applyFill="1" applyBorder="1" applyAlignment="1">
      <alignment horizontal="center" vertical="center" wrapText="1"/>
    </xf>
    <xf numFmtId="0" fontId="14" fillId="3" borderId="10" xfId="20" applyFont="1" applyFill="1" applyBorder="1" applyAlignment="1">
      <alignment horizontal="center" vertical="center" wrapText="1"/>
    </xf>
    <xf numFmtId="0" fontId="14" fillId="3" borderId="8" xfId="20" applyFont="1" applyFill="1" applyBorder="1" applyAlignment="1">
      <alignment horizontal="center" vertical="center" wrapText="1"/>
    </xf>
    <xf numFmtId="0" fontId="18" fillId="3" borderId="0" xfId="31" applyFont="1" applyFill="1" applyAlignment="1">
      <alignment horizontal="right" vertical="top" wrapText="1"/>
    </xf>
    <xf numFmtId="0" fontId="14" fillId="3" borderId="0" xfId="31" applyFont="1" applyFill="1" applyAlignment="1">
      <alignment horizontal="right" vertical="top" wrapText="1"/>
    </xf>
    <xf numFmtId="0" fontId="18" fillId="3" borderId="12" xfId="31" applyFont="1" applyFill="1" applyBorder="1" applyAlignment="1">
      <alignment horizontal="center" vertical="center" wrapText="1"/>
    </xf>
    <xf numFmtId="0" fontId="14" fillId="3" borderId="1" xfId="31" applyFont="1" applyFill="1" applyBorder="1" applyAlignment="1">
      <alignment horizontal="center" vertical="center" wrapText="1"/>
    </xf>
    <xf numFmtId="0" fontId="14" fillId="3" borderId="1" xfId="31" applyFont="1" applyFill="1" applyBorder="1" applyAlignment="1">
      <alignment horizontal="center" vertical="center"/>
    </xf>
    <xf numFmtId="0" fontId="14" fillId="3" borderId="2" xfId="31" applyFont="1" applyFill="1" applyBorder="1" applyAlignment="1">
      <alignment horizontal="center" vertical="center" wrapText="1"/>
    </xf>
    <xf numFmtId="0" fontId="14" fillId="3" borderId="14" xfId="31" applyFont="1" applyFill="1" applyBorder="1" applyAlignment="1">
      <alignment horizontal="center" vertical="center" wrapText="1"/>
    </xf>
    <xf numFmtId="0" fontId="14" fillId="3" borderId="3" xfId="31" applyFont="1" applyFill="1" applyBorder="1" applyAlignment="1">
      <alignment horizontal="center" vertical="center" wrapText="1"/>
    </xf>
    <xf numFmtId="0" fontId="14" fillId="3" borderId="13" xfId="31" applyFont="1" applyFill="1" applyBorder="1" applyAlignment="1">
      <alignment horizontal="center" vertical="center" wrapText="1"/>
    </xf>
    <xf numFmtId="0" fontId="14" fillId="3" borderId="4" xfId="31" applyFont="1" applyFill="1" applyBorder="1" applyAlignment="1">
      <alignment horizontal="center" vertical="center" wrapText="1"/>
    </xf>
    <xf numFmtId="0" fontId="14" fillId="3" borderId="9" xfId="31" applyFont="1" applyFill="1" applyBorder="1" applyAlignment="1">
      <alignment horizontal="center" vertical="center" wrapText="1"/>
    </xf>
    <xf numFmtId="0" fontId="14" fillId="3" borderId="15" xfId="31" applyFont="1" applyFill="1" applyBorder="1" applyAlignment="1">
      <alignment horizontal="center" vertical="center" wrapText="1"/>
    </xf>
    <xf numFmtId="0" fontId="14" fillId="3" borderId="12" xfId="31" applyFont="1" applyFill="1" applyBorder="1" applyAlignment="1">
      <alignment horizontal="center" vertical="center" wrapText="1"/>
    </xf>
    <xf numFmtId="0" fontId="14" fillId="3" borderId="11" xfId="31" applyFont="1" applyFill="1" applyBorder="1" applyAlignment="1">
      <alignment horizontal="center" vertical="center" wrapText="1"/>
    </xf>
    <xf numFmtId="0" fontId="14" fillId="0" borderId="10" xfId="30" applyFont="1" applyFill="1" applyBorder="1" applyAlignment="1">
      <alignment horizontal="center" vertical="center" wrapText="1"/>
    </xf>
    <xf numFmtId="0" fontId="14" fillId="0" borderId="24" xfId="30" applyFont="1" applyFill="1" applyBorder="1" applyAlignment="1">
      <alignment horizontal="center" vertical="center" wrapText="1"/>
    </xf>
    <xf numFmtId="0" fontId="14" fillId="0" borderId="8" xfId="30" applyFont="1" applyFill="1" applyBorder="1" applyAlignment="1">
      <alignment horizontal="center" vertical="center" wrapText="1"/>
    </xf>
    <xf numFmtId="0" fontId="14" fillId="3" borderId="10" xfId="31" applyFont="1" applyFill="1" applyBorder="1" applyAlignment="1">
      <alignment horizontal="center" vertical="center" wrapText="1"/>
    </xf>
    <xf numFmtId="0" fontId="14" fillId="3" borderId="24" xfId="31" applyFont="1" applyFill="1" applyBorder="1" applyAlignment="1">
      <alignment horizontal="center" vertical="center" wrapText="1"/>
    </xf>
    <xf numFmtId="0" fontId="14" fillId="3" borderId="8" xfId="31" applyFont="1" applyFill="1" applyBorder="1" applyAlignment="1">
      <alignment horizontal="center" vertical="center" wrapText="1"/>
    </xf>
    <xf numFmtId="0" fontId="15" fillId="3" borderId="13" xfId="31" applyFont="1" applyFill="1" applyBorder="1" applyAlignment="1">
      <alignment horizontal="center"/>
    </xf>
    <xf numFmtId="0" fontId="15" fillId="3" borderId="4" xfId="31" applyFont="1" applyFill="1" applyBorder="1" applyAlignment="1">
      <alignment horizontal="center"/>
    </xf>
    <xf numFmtId="0" fontId="15" fillId="3" borderId="9" xfId="31" applyFont="1" applyFill="1" applyBorder="1" applyAlignment="1">
      <alignment horizontal="center"/>
    </xf>
    <xf numFmtId="0" fontId="10" fillId="0" borderId="0" xfId="14" applyFont="1" applyFill="1" applyAlignment="1">
      <alignment horizontal="right" vertical="center" wrapText="1"/>
    </xf>
    <xf numFmtId="0" fontId="10" fillId="0" borderId="0" xfId="14" applyFont="1" applyFill="1" applyAlignment="1">
      <alignment horizontal="center" vertical="top" wrapText="1"/>
    </xf>
    <xf numFmtId="0" fontId="13" fillId="0" borderId="5" xfId="15" applyFont="1" applyFill="1" applyBorder="1" applyAlignment="1">
      <alignment horizontal="center" vertical="center" wrapText="1"/>
    </xf>
    <xf numFmtId="0" fontId="13" fillId="0" borderId="5" xfId="16" applyNumberFormat="1" applyFont="1" applyFill="1" applyBorder="1" applyAlignment="1">
      <alignment horizontal="center" vertical="center" wrapText="1"/>
    </xf>
    <xf numFmtId="0" fontId="13" fillId="0" borderId="16" xfId="15" applyFont="1" applyFill="1" applyBorder="1" applyAlignment="1">
      <alignment horizontal="center" vertical="center" wrapText="1"/>
    </xf>
    <xf numFmtId="0" fontId="13" fillId="0" borderId="7" xfId="15" applyFont="1" applyFill="1" applyBorder="1" applyAlignment="1">
      <alignment horizontal="center" vertical="center" wrapText="1"/>
    </xf>
    <xf numFmtId="0" fontId="13" fillId="0" borderId="6" xfId="15" applyFont="1" applyFill="1" applyBorder="1" applyAlignment="1">
      <alignment horizontal="center" vertical="center" wrapText="1"/>
    </xf>
    <xf numFmtId="0" fontId="13" fillId="0" borderId="19" xfId="15" applyFont="1" applyFill="1" applyBorder="1" applyAlignment="1">
      <alignment horizontal="center" vertical="center" wrapText="1"/>
    </xf>
    <xf numFmtId="0" fontId="14" fillId="3" borderId="1" xfId="11" applyFont="1" applyFill="1" applyBorder="1" applyAlignment="1">
      <alignment horizontal="center" vertical="center"/>
    </xf>
    <xf numFmtId="0" fontId="14" fillId="3" borderId="1" xfId="1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0" fontId="18" fillId="3" borderId="0" xfId="14" applyFont="1" applyFill="1" applyAlignment="1">
      <alignment horizontal="right" vertical="center" wrapText="1"/>
    </xf>
    <xf numFmtId="0" fontId="18" fillId="3" borderId="0" xfId="14" applyFont="1" applyFill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20" xfId="15" applyFont="1" applyFill="1" applyBorder="1" applyAlignment="1">
      <alignment horizontal="center" vertical="center" wrapText="1"/>
    </xf>
    <xf numFmtId="0" fontId="14" fillId="3" borderId="7" xfId="15" applyFont="1" applyFill="1" applyBorder="1" applyAlignment="1">
      <alignment horizontal="center" vertical="center" wrapText="1"/>
    </xf>
    <xf numFmtId="0" fontId="14" fillId="3" borderId="17" xfId="16" applyNumberFormat="1" applyFont="1" applyFill="1" applyBorder="1" applyAlignment="1">
      <alignment horizontal="center" vertical="top" wrapText="1"/>
    </xf>
    <xf numFmtId="0" fontId="14" fillId="3" borderId="21" xfId="16" applyNumberFormat="1" applyFont="1" applyFill="1" applyBorder="1" applyAlignment="1">
      <alignment horizontal="center" vertical="top" wrapText="1"/>
    </xf>
    <xf numFmtId="0" fontId="14" fillId="3" borderId="22" xfId="16" applyNumberFormat="1" applyFont="1" applyFill="1" applyBorder="1" applyAlignment="1">
      <alignment horizontal="center" vertical="top" wrapText="1"/>
    </xf>
    <xf numFmtId="0" fontId="14" fillId="3" borderId="1" xfId="15" applyFont="1" applyFill="1" applyBorder="1" applyAlignment="1">
      <alignment horizontal="center" vertical="center" wrapText="1"/>
    </xf>
    <xf numFmtId="0" fontId="14" fillId="3" borderId="2" xfId="15" applyFont="1" applyFill="1" applyBorder="1" applyAlignment="1">
      <alignment horizontal="center" vertical="center" wrapText="1"/>
    </xf>
    <xf numFmtId="0" fontId="14" fillId="3" borderId="3" xfId="15" applyFont="1" applyFill="1" applyBorder="1" applyAlignment="1">
      <alignment horizontal="center" vertical="center" wrapText="1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8" xfId="15" applyFont="1" applyFill="1" applyBorder="1" applyAlignment="1">
      <alignment horizontal="center" vertical="center" wrapText="1"/>
    </xf>
    <xf numFmtId="0" fontId="18" fillId="0" borderId="0" xfId="33" applyFont="1" applyFill="1" applyAlignment="1">
      <alignment horizontal="right" vertical="top" wrapText="1"/>
    </xf>
    <xf numFmtId="0" fontId="14" fillId="0" borderId="0" xfId="33" applyFont="1" applyFill="1" applyAlignment="1">
      <alignment horizontal="right" vertical="top" wrapText="1"/>
    </xf>
    <xf numFmtId="0" fontId="10" fillId="0" borderId="0" xfId="33" applyFont="1" applyFill="1" applyAlignment="1">
      <alignment horizontal="center" vertical="center" wrapText="1"/>
    </xf>
    <xf numFmtId="0" fontId="14" fillId="0" borderId="10" xfId="33" applyFont="1" applyFill="1" applyBorder="1" applyAlignment="1">
      <alignment horizontal="center" vertical="center" wrapText="1"/>
    </xf>
    <xf numFmtId="0" fontId="14" fillId="0" borderId="24" xfId="33" applyFont="1" applyFill="1" applyBorder="1" applyAlignment="1">
      <alignment horizontal="center" vertical="center" wrapText="1"/>
    </xf>
    <xf numFmtId="0" fontId="14" fillId="0" borderId="8" xfId="33" applyFont="1" applyFill="1" applyBorder="1" applyAlignment="1">
      <alignment horizontal="center" vertical="center" wrapText="1"/>
    </xf>
    <xf numFmtId="0" fontId="14" fillId="0" borderId="16" xfId="33" applyFont="1" applyFill="1" applyBorder="1" applyAlignment="1">
      <alignment horizontal="center" vertical="center" wrapText="1"/>
    </xf>
    <xf numFmtId="0" fontId="14" fillId="0" borderId="20" xfId="33" applyFont="1" applyFill="1" applyBorder="1" applyAlignment="1">
      <alignment horizontal="center" vertical="center" wrapText="1"/>
    </xf>
    <xf numFmtId="0" fontId="14" fillId="0" borderId="25" xfId="33" applyFont="1" applyFill="1" applyBorder="1" applyAlignment="1">
      <alignment horizontal="center" vertical="center" wrapText="1"/>
    </xf>
    <xf numFmtId="0" fontId="14" fillId="0" borderId="26" xfId="33" applyFont="1" applyFill="1" applyBorder="1" applyAlignment="1">
      <alignment horizontal="center" vertical="center" wrapText="1"/>
    </xf>
    <xf numFmtId="0" fontId="14" fillId="0" borderId="27" xfId="33" applyFont="1" applyFill="1" applyBorder="1" applyAlignment="1">
      <alignment horizontal="center" vertical="center" wrapText="1"/>
    </xf>
    <xf numFmtId="0" fontId="14" fillId="0" borderId="28" xfId="33" applyFont="1" applyFill="1" applyBorder="1" applyAlignment="1">
      <alignment horizontal="center" vertical="center" wrapText="1"/>
    </xf>
    <xf numFmtId="0" fontId="14" fillId="0" borderId="2" xfId="173" applyNumberFormat="1" applyFont="1" applyFill="1" applyBorder="1" applyAlignment="1">
      <alignment horizontal="center" vertical="center" wrapText="1"/>
    </xf>
    <xf numFmtId="0" fontId="14" fillId="0" borderId="3" xfId="173" applyNumberFormat="1" applyFont="1" applyFill="1" applyBorder="1" applyAlignment="1">
      <alignment horizontal="center" vertical="center" wrapText="1"/>
    </xf>
    <xf numFmtId="0" fontId="13" fillId="0" borderId="0" xfId="6" applyFont="1" applyFill="1" applyAlignment="1">
      <alignment horizontal="left" vertical="center"/>
    </xf>
    <xf numFmtId="0" fontId="13" fillId="0" borderId="0" xfId="6" applyFont="1" applyFill="1" applyAlignment="1">
      <alignment horizontal="justify" vertical="center" wrapText="1"/>
    </xf>
    <xf numFmtId="0" fontId="13" fillId="0" borderId="0" xfId="6" applyFont="1" applyFill="1" applyAlignment="1">
      <alignment horizontal="justify" vertical="center"/>
    </xf>
    <xf numFmtId="0" fontId="10" fillId="0" borderId="0" xfId="5" applyFont="1" applyFill="1" applyAlignment="1">
      <alignment horizontal="right" vertical="center" wrapText="1"/>
    </xf>
  </cellXfs>
  <cellStyles count="182">
    <cellStyle name="Денежный [0] 2" xfId="18" xr:uid="{00000000-0005-0000-0000-000000000000}"/>
    <cellStyle name="Денежный 2" xfId="17" xr:uid="{00000000-0005-0000-0000-000001000000}"/>
    <cellStyle name="Название" xfId="30" builtinId="15"/>
    <cellStyle name="Название 2" xfId="15" xr:uid="{00000000-0005-0000-0000-000003000000}"/>
    <cellStyle name="Обычный" xfId="0" builtinId="0"/>
    <cellStyle name="Обычный 10" xfId="28" xr:uid="{00000000-0005-0000-0000-000005000000}"/>
    <cellStyle name="Обычный 10 10" xfId="33" xr:uid="{00000000-0005-0000-0000-000006000000}"/>
    <cellStyle name="Обычный 10 11" xfId="34" xr:uid="{00000000-0005-0000-0000-000007000000}"/>
    <cellStyle name="Обычный 10 12" xfId="35" xr:uid="{00000000-0005-0000-0000-000008000000}"/>
    <cellStyle name="Обычный 10 2" xfId="36" xr:uid="{00000000-0005-0000-0000-000009000000}"/>
    <cellStyle name="Обычный 10 3" xfId="37" xr:uid="{00000000-0005-0000-0000-00000A000000}"/>
    <cellStyle name="Обычный 10 4" xfId="38" xr:uid="{00000000-0005-0000-0000-00000B000000}"/>
    <cellStyle name="Обычный 10 5" xfId="39" xr:uid="{00000000-0005-0000-0000-00000C000000}"/>
    <cellStyle name="Обычный 10 6" xfId="40" xr:uid="{00000000-0005-0000-0000-00000D000000}"/>
    <cellStyle name="Обычный 10 7" xfId="41" xr:uid="{00000000-0005-0000-0000-00000E000000}"/>
    <cellStyle name="Обычный 10 8" xfId="42" xr:uid="{00000000-0005-0000-0000-00000F000000}"/>
    <cellStyle name="Обычный 10 9" xfId="43" xr:uid="{00000000-0005-0000-0000-000010000000}"/>
    <cellStyle name="Обычный 11" xfId="31" xr:uid="{00000000-0005-0000-0000-000011000000}"/>
    <cellStyle name="Обычный 12" xfId="175" xr:uid="{00000000-0005-0000-0000-000012000000}"/>
    <cellStyle name="Обычный 13" xfId="44" xr:uid="{00000000-0005-0000-0000-000013000000}"/>
    <cellStyle name="Обычный 14" xfId="177" xr:uid="{00000000-0005-0000-0000-000014000000}"/>
    <cellStyle name="Обычный 2" xfId="1" xr:uid="{00000000-0005-0000-0000-000015000000}"/>
    <cellStyle name="Обычный 2 2" xfId="45" xr:uid="{00000000-0005-0000-0000-000016000000}"/>
    <cellStyle name="Обычный 2 2 10" xfId="46" xr:uid="{00000000-0005-0000-0000-000017000000}"/>
    <cellStyle name="Обычный 2 2 11" xfId="47" xr:uid="{00000000-0005-0000-0000-000018000000}"/>
    <cellStyle name="Обычный 2 2 12" xfId="48" xr:uid="{00000000-0005-0000-0000-000019000000}"/>
    <cellStyle name="Обычный 2 2 13" xfId="49" xr:uid="{00000000-0005-0000-0000-00001A000000}"/>
    <cellStyle name="Обычный 2 2 14" xfId="50" xr:uid="{00000000-0005-0000-0000-00001B000000}"/>
    <cellStyle name="Обычный 2 2 15" xfId="51" xr:uid="{00000000-0005-0000-0000-00001C000000}"/>
    <cellStyle name="Обычный 2 2 2" xfId="52" xr:uid="{00000000-0005-0000-0000-00001D000000}"/>
    <cellStyle name="Обычный 2 2 2 10" xfId="53" xr:uid="{00000000-0005-0000-0000-00001E000000}"/>
    <cellStyle name="Обычный 2 2 2 11" xfId="54" xr:uid="{00000000-0005-0000-0000-00001F000000}"/>
    <cellStyle name="Обычный 2 2 2 12" xfId="55" xr:uid="{00000000-0005-0000-0000-000020000000}"/>
    <cellStyle name="Обычный 2 2 2 13" xfId="56" xr:uid="{00000000-0005-0000-0000-000021000000}"/>
    <cellStyle name="Обычный 2 2 2 14" xfId="57" xr:uid="{00000000-0005-0000-0000-000022000000}"/>
    <cellStyle name="Обычный 2 2 2 15" xfId="58" xr:uid="{00000000-0005-0000-0000-000023000000}"/>
    <cellStyle name="Обычный 2 2 2 2" xfId="59" xr:uid="{00000000-0005-0000-0000-000024000000}"/>
    <cellStyle name="Обычный 2 2 2 2 10" xfId="60" xr:uid="{00000000-0005-0000-0000-000025000000}"/>
    <cellStyle name="Обычный 2 2 2 2 11" xfId="61" xr:uid="{00000000-0005-0000-0000-000026000000}"/>
    <cellStyle name="Обычный 2 2 2 2 12" xfId="62" xr:uid="{00000000-0005-0000-0000-000027000000}"/>
    <cellStyle name="Обычный 2 2 2 2 2" xfId="63" xr:uid="{00000000-0005-0000-0000-000028000000}"/>
    <cellStyle name="Обычный 2 2 2 2 3" xfId="64" xr:uid="{00000000-0005-0000-0000-000029000000}"/>
    <cellStyle name="Обычный 2 2 2 2 4" xfId="65" xr:uid="{00000000-0005-0000-0000-00002A000000}"/>
    <cellStyle name="Обычный 2 2 2 2 5" xfId="66" xr:uid="{00000000-0005-0000-0000-00002B000000}"/>
    <cellStyle name="Обычный 2 2 2 2 6" xfId="67" xr:uid="{00000000-0005-0000-0000-00002C000000}"/>
    <cellStyle name="Обычный 2 2 2 2 7" xfId="68" xr:uid="{00000000-0005-0000-0000-00002D000000}"/>
    <cellStyle name="Обычный 2 2 2 2 8" xfId="69" xr:uid="{00000000-0005-0000-0000-00002E000000}"/>
    <cellStyle name="Обычный 2 2 2 2 9" xfId="70" xr:uid="{00000000-0005-0000-0000-00002F000000}"/>
    <cellStyle name="Обычный 2 2 2 3" xfId="71" xr:uid="{00000000-0005-0000-0000-000030000000}"/>
    <cellStyle name="Обычный 2 2 2 4" xfId="72" xr:uid="{00000000-0005-0000-0000-000031000000}"/>
    <cellStyle name="Обычный 2 2 2 5" xfId="73" xr:uid="{00000000-0005-0000-0000-000032000000}"/>
    <cellStyle name="Обычный 2 2 2 6" xfId="74" xr:uid="{00000000-0005-0000-0000-000033000000}"/>
    <cellStyle name="Обычный 2 2 2 7" xfId="75" xr:uid="{00000000-0005-0000-0000-000034000000}"/>
    <cellStyle name="Обычный 2 2 2 8" xfId="76" xr:uid="{00000000-0005-0000-0000-000035000000}"/>
    <cellStyle name="Обычный 2 2 2 9" xfId="77" xr:uid="{00000000-0005-0000-0000-000036000000}"/>
    <cellStyle name="Обычный 2 2 3" xfId="78" xr:uid="{00000000-0005-0000-0000-000037000000}"/>
    <cellStyle name="Обычный 2 2 3 10" xfId="79" xr:uid="{00000000-0005-0000-0000-000038000000}"/>
    <cellStyle name="Обычный 2 2 3 11" xfId="80" xr:uid="{00000000-0005-0000-0000-000039000000}"/>
    <cellStyle name="Обычный 2 2 3 12" xfId="81" xr:uid="{00000000-0005-0000-0000-00003A000000}"/>
    <cellStyle name="Обычный 2 2 3 2" xfId="82" xr:uid="{00000000-0005-0000-0000-00003B000000}"/>
    <cellStyle name="Обычный 2 2 3 3" xfId="83" xr:uid="{00000000-0005-0000-0000-00003C000000}"/>
    <cellStyle name="Обычный 2 2 3 4" xfId="84" xr:uid="{00000000-0005-0000-0000-00003D000000}"/>
    <cellStyle name="Обычный 2 2 3 5" xfId="85" xr:uid="{00000000-0005-0000-0000-00003E000000}"/>
    <cellStyle name="Обычный 2 2 3 6" xfId="86" xr:uid="{00000000-0005-0000-0000-00003F000000}"/>
    <cellStyle name="Обычный 2 2 3 7" xfId="87" xr:uid="{00000000-0005-0000-0000-000040000000}"/>
    <cellStyle name="Обычный 2 2 3 8" xfId="88" xr:uid="{00000000-0005-0000-0000-000041000000}"/>
    <cellStyle name="Обычный 2 2 3 9" xfId="89" xr:uid="{00000000-0005-0000-0000-000042000000}"/>
    <cellStyle name="Обычный 2 2 4" xfId="90" xr:uid="{00000000-0005-0000-0000-000043000000}"/>
    <cellStyle name="Обычный 2 2 5" xfId="91" xr:uid="{00000000-0005-0000-0000-000044000000}"/>
    <cellStyle name="Обычный 2 2 6" xfId="92" xr:uid="{00000000-0005-0000-0000-000045000000}"/>
    <cellStyle name="Обычный 2 2 7" xfId="93" xr:uid="{00000000-0005-0000-0000-000046000000}"/>
    <cellStyle name="Обычный 2 2 8" xfId="94" xr:uid="{00000000-0005-0000-0000-000047000000}"/>
    <cellStyle name="Обычный 2 2 9" xfId="95" xr:uid="{00000000-0005-0000-0000-000048000000}"/>
    <cellStyle name="Обычный 2 3" xfId="96" xr:uid="{00000000-0005-0000-0000-000049000000}"/>
    <cellStyle name="Обычный 2 4" xfId="97" xr:uid="{00000000-0005-0000-0000-00004A000000}"/>
    <cellStyle name="Обычный 2 5" xfId="98" xr:uid="{00000000-0005-0000-0000-00004B000000}"/>
    <cellStyle name="Обычный 2 6" xfId="176" xr:uid="{00000000-0005-0000-0000-00004C000000}"/>
    <cellStyle name="Обычный 3" xfId="2" xr:uid="{00000000-0005-0000-0000-00004D000000}"/>
    <cellStyle name="Обычный 3 10" xfId="99" xr:uid="{00000000-0005-0000-0000-00004E000000}"/>
    <cellStyle name="Обычный 3 11" xfId="100" xr:uid="{00000000-0005-0000-0000-00004F000000}"/>
    <cellStyle name="Обычный 3 12" xfId="101" xr:uid="{00000000-0005-0000-0000-000050000000}"/>
    <cellStyle name="Обычный 3 2" xfId="23" xr:uid="{00000000-0005-0000-0000-000051000000}"/>
    <cellStyle name="Обычный 3 3" xfId="32" xr:uid="{00000000-0005-0000-0000-000052000000}"/>
    <cellStyle name="Обычный 3 4" xfId="102" xr:uid="{00000000-0005-0000-0000-000053000000}"/>
    <cellStyle name="Обычный 3 5" xfId="103" xr:uid="{00000000-0005-0000-0000-000054000000}"/>
    <cellStyle name="Обычный 3 6" xfId="104" xr:uid="{00000000-0005-0000-0000-000055000000}"/>
    <cellStyle name="Обычный 3 7" xfId="105" xr:uid="{00000000-0005-0000-0000-000056000000}"/>
    <cellStyle name="Обычный 3 8" xfId="106" xr:uid="{00000000-0005-0000-0000-000057000000}"/>
    <cellStyle name="Обычный 3 9" xfId="107" xr:uid="{00000000-0005-0000-0000-000058000000}"/>
    <cellStyle name="Обычный 4" xfId="7" xr:uid="{00000000-0005-0000-0000-000059000000}"/>
    <cellStyle name="Обычный 4 10" xfId="108" xr:uid="{00000000-0005-0000-0000-00005A000000}"/>
    <cellStyle name="Обычный 4 11" xfId="109" xr:uid="{00000000-0005-0000-0000-00005B000000}"/>
    <cellStyle name="Обычный 4 12" xfId="110" xr:uid="{00000000-0005-0000-0000-00005C000000}"/>
    <cellStyle name="Обычный 4 2" xfId="20" xr:uid="{00000000-0005-0000-0000-00005D000000}"/>
    <cellStyle name="Обычный 4 3" xfId="111" xr:uid="{00000000-0005-0000-0000-00005E000000}"/>
    <cellStyle name="Обычный 4 4" xfId="112" xr:uid="{00000000-0005-0000-0000-00005F000000}"/>
    <cellStyle name="Обычный 4 5" xfId="113" xr:uid="{00000000-0005-0000-0000-000060000000}"/>
    <cellStyle name="Обычный 4 6" xfId="114" xr:uid="{00000000-0005-0000-0000-000061000000}"/>
    <cellStyle name="Обычный 4 7" xfId="115" xr:uid="{00000000-0005-0000-0000-000062000000}"/>
    <cellStyle name="Обычный 4 8" xfId="116" xr:uid="{00000000-0005-0000-0000-000063000000}"/>
    <cellStyle name="Обычный 4 9" xfId="117" xr:uid="{00000000-0005-0000-0000-000064000000}"/>
    <cellStyle name="Обычный 5" xfId="6" xr:uid="{00000000-0005-0000-0000-000065000000}"/>
    <cellStyle name="Обычный 5 10" xfId="118" xr:uid="{00000000-0005-0000-0000-000066000000}"/>
    <cellStyle name="Обычный 5 11" xfId="119" xr:uid="{00000000-0005-0000-0000-000067000000}"/>
    <cellStyle name="Обычный 5 12" xfId="120" xr:uid="{00000000-0005-0000-0000-000068000000}"/>
    <cellStyle name="Обычный 5 2" xfId="121" xr:uid="{00000000-0005-0000-0000-000069000000}"/>
    <cellStyle name="Обычный 5 3" xfId="122" xr:uid="{00000000-0005-0000-0000-00006A000000}"/>
    <cellStyle name="Обычный 5 4" xfId="123" xr:uid="{00000000-0005-0000-0000-00006B000000}"/>
    <cellStyle name="Обычный 5 5" xfId="124" xr:uid="{00000000-0005-0000-0000-00006C000000}"/>
    <cellStyle name="Обычный 5 6" xfId="125" xr:uid="{00000000-0005-0000-0000-00006D000000}"/>
    <cellStyle name="Обычный 5 7" xfId="126" xr:uid="{00000000-0005-0000-0000-00006E000000}"/>
    <cellStyle name="Обычный 5 8" xfId="127" xr:uid="{00000000-0005-0000-0000-00006F000000}"/>
    <cellStyle name="Обычный 5 9" xfId="128" xr:uid="{00000000-0005-0000-0000-000070000000}"/>
    <cellStyle name="Обычный 6" xfId="8" xr:uid="{00000000-0005-0000-0000-000071000000}"/>
    <cellStyle name="Обычный 6 10" xfId="129" xr:uid="{00000000-0005-0000-0000-000072000000}"/>
    <cellStyle name="Обычный 6 11" xfId="130" xr:uid="{00000000-0005-0000-0000-000073000000}"/>
    <cellStyle name="Обычный 6 12" xfId="131" xr:uid="{00000000-0005-0000-0000-000074000000}"/>
    <cellStyle name="Обычный 6 13" xfId="180" xr:uid="{00000000-0005-0000-0000-000075000000}"/>
    <cellStyle name="Обычный 6 2" xfId="132" xr:uid="{00000000-0005-0000-0000-000076000000}"/>
    <cellStyle name="Обычный 6 3" xfId="133" xr:uid="{00000000-0005-0000-0000-000077000000}"/>
    <cellStyle name="Обычный 6 4" xfId="134" xr:uid="{00000000-0005-0000-0000-000078000000}"/>
    <cellStyle name="Обычный 6 5" xfId="135" xr:uid="{00000000-0005-0000-0000-000079000000}"/>
    <cellStyle name="Обычный 6 6" xfId="136" xr:uid="{00000000-0005-0000-0000-00007A000000}"/>
    <cellStyle name="Обычный 6 7" xfId="137" xr:uid="{00000000-0005-0000-0000-00007B000000}"/>
    <cellStyle name="Обычный 6 8" xfId="138" xr:uid="{00000000-0005-0000-0000-00007C000000}"/>
    <cellStyle name="Обычный 6 9" xfId="139" xr:uid="{00000000-0005-0000-0000-00007D000000}"/>
    <cellStyle name="Обычный 7" xfId="11" xr:uid="{00000000-0005-0000-0000-00007E000000}"/>
    <cellStyle name="Обычный 7 10" xfId="140" xr:uid="{00000000-0005-0000-0000-00007F000000}"/>
    <cellStyle name="Обычный 7 11" xfId="141" xr:uid="{00000000-0005-0000-0000-000080000000}"/>
    <cellStyle name="Обычный 7 12" xfId="142" xr:uid="{00000000-0005-0000-0000-000081000000}"/>
    <cellStyle name="Обычный 7 2" xfId="143" xr:uid="{00000000-0005-0000-0000-000082000000}"/>
    <cellStyle name="Обычный 7 3" xfId="144" xr:uid="{00000000-0005-0000-0000-000083000000}"/>
    <cellStyle name="Обычный 7 4" xfId="145" xr:uid="{00000000-0005-0000-0000-000084000000}"/>
    <cellStyle name="Обычный 7 5" xfId="146" xr:uid="{00000000-0005-0000-0000-000085000000}"/>
    <cellStyle name="Обычный 7 6" xfId="147" xr:uid="{00000000-0005-0000-0000-000086000000}"/>
    <cellStyle name="Обычный 7 7" xfId="148" xr:uid="{00000000-0005-0000-0000-000087000000}"/>
    <cellStyle name="Обычный 7 8" xfId="149" xr:uid="{00000000-0005-0000-0000-000088000000}"/>
    <cellStyle name="Обычный 7 9" xfId="150" xr:uid="{00000000-0005-0000-0000-000089000000}"/>
    <cellStyle name="Обычный 8" xfId="14" xr:uid="{00000000-0005-0000-0000-00008A000000}"/>
    <cellStyle name="Обычный 8 10" xfId="151" xr:uid="{00000000-0005-0000-0000-00008B000000}"/>
    <cellStyle name="Обычный 8 11" xfId="152" xr:uid="{00000000-0005-0000-0000-00008C000000}"/>
    <cellStyle name="Обычный 8 12" xfId="153" xr:uid="{00000000-0005-0000-0000-00008D000000}"/>
    <cellStyle name="Обычный 8 2" xfId="154" xr:uid="{00000000-0005-0000-0000-00008E000000}"/>
    <cellStyle name="Обычный 8 3" xfId="155" xr:uid="{00000000-0005-0000-0000-00008F000000}"/>
    <cellStyle name="Обычный 8 4" xfId="156" xr:uid="{00000000-0005-0000-0000-000090000000}"/>
    <cellStyle name="Обычный 8 5" xfId="157" xr:uid="{00000000-0005-0000-0000-000091000000}"/>
    <cellStyle name="Обычный 8 6" xfId="158" xr:uid="{00000000-0005-0000-0000-000092000000}"/>
    <cellStyle name="Обычный 8 7" xfId="159" xr:uid="{00000000-0005-0000-0000-000093000000}"/>
    <cellStyle name="Обычный 8 8" xfId="160" xr:uid="{00000000-0005-0000-0000-000094000000}"/>
    <cellStyle name="Обычный 8 9" xfId="161" xr:uid="{00000000-0005-0000-0000-000095000000}"/>
    <cellStyle name="Обычный 9" xfId="24" xr:uid="{00000000-0005-0000-0000-000096000000}"/>
    <cellStyle name="Обычный 9 10" xfId="162" xr:uid="{00000000-0005-0000-0000-000097000000}"/>
    <cellStyle name="Обычный 9 11" xfId="163" xr:uid="{00000000-0005-0000-0000-000098000000}"/>
    <cellStyle name="Обычный 9 12" xfId="164" xr:uid="{00000000-0005-0000-0000-000099000000}"/>
    <cellStyle name="Обычный 9 2" xfId="165" xr:uid="{00000000-0005-0000-0000-00009A000000}"/>
    <cellStyle name="Обычный 9 3" xfId="166" xr:uid="{00000000-0005-0000-0000-00009B000000}"/>
    <cellStyle name="Обычный 9 4" xfId="167" xr:uid="{00000000-0005-0000-0000-00009C000000}"/>
    <cellStyle name="Обычный 9 5" xfId="168" xr:uid="{00000000-0005-0000-0000-00009D000000}"/>
    <cellStyle name="Обычный 9 6" xfId="169" xr:uid="{00000000-0005-0000-0000-00009E000000}"/>
    <cellStyle name="Обычный 9 7" xfId="170" xr:uid="{00000000-0005-0000-0000-00009F000000}"/>
    <cellStyle name="Обычный 9 8" xfId="171" xr:uid="{00000000-0005-0000-0000-0000A0000000}"/>
    <cellStyle name="Обычный 9 9" xfId="172" xr:uid="{00000000-0005-0000-0000-0000A1000000}"/>
    <cellStyle name="Обычный_Прилож. № (общее образ) " xfId="5" xr:uid="{00000000-0005-0000-0000-0000A2000000}"/>
    <cellStyle name="Процентный 2" xfId="16" xr:uid="{00000000-0005-0000-0000-0000A3000000}"/>
    <cellStyle name="Финансовый" xfId="26" builtinId="3"/>
    <cellStyle name="Финансовый [0] 2" xfId="4" xr:uid="{00000000-0005-0000-0000-0000A5000000}"/>
    <cellStyle name="Финансовый [0] 2 2" xfId="21" xr:uid="{00000000-0005-0000-0000-0000A6000000}"/>
    <cellStyle name="Финансовый [0] 3" xfId="10" xr:uid="{00000000-0005-0000-0000-0000A7000000}"/>
    <cellStyle name="Финансовый [0] 4" xfId="12" xr:uid="{00000000-0005-0000-0000-0000A8000000}"/>
    <cellStyle name="Финансовый [0] 5" xfId="173" xr:uid="{00000000-0005-0000-0000-0000A9000000}"/>
    <cellStyle name="Финансовый 10" xfId="178" xr:uid="{00000000-0005-0000-0000-0000AA000000}"/>
    <cellStyle name="Финансовый 2" xfId="3" xr:uid="{00000000-0005-0000-0000-0000AB000000}"/>
    <cellStyle name="Финансовый 2 2" xfId="22" xr:uid="{00000000-0005-0000-0000-0000AC000000}"/>
    <cellStyle name="Финансовый 3" xfId="9" xr:uid="{00000000-0005-0000-0000-0000AD000000}"/>
    <cellStyle name="Финансовый 3 2" xfId="181" xr:uid="{00000000-0005-0000-0000-0000AE000000}"/>
    <cellStyle name="Финансовый 4" xfId="13" xr:uid="{00000000-0005-0000-0000-0000AF000000}"/>
    <cellStyle name="Финансовый 5" xfId="19" xr:uid="{00000000-0005-0000-0000-0000B0000000}"/>
    <cellStyle name="Финансовый 6" xfId="25" xr:uid="{00000000-0005-0000-0000-0000B1000000}"/>
    <cellStyle name="Финансовый 7" xfId="27" xr:uid="{00000000-0005-0000-0000-0000B2000000}"/>
    <cellStyle name="Финансовый 8" xfId="29" xr:uid="{00000000-0005-0000-0000-0000B3000000}"/>
    <cellStyle name="Финансовый 9" xfId="174" xr:uid="{00000000-0005-0000-0000-0000B4000000}"/>
    <cellStyle name="Финансовый_Прилож. № (общее образ) " xfId="179" xr:uid="{00000000-0005-0000-0000-0000B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view="pageBreakPreview" zoomScaleNormal="85" zoomScaleSheetLayoutView="100" workbookViewId="0">
      <selection activeCell="A3" sqref="A3:E3"/>
    </sheetView>
  </sheetViews>
  <sheetFormatPr defaultRowHeight="18.75" x14ac:dyDescent="0.3"/>
  <cols>
    <col min="1" max="1" width="6.28515625" style="100" customWidth="1"/>
    <col min="2" max="2" width="52.140625" style="100" customWidth="1"/>
    <col min="3" max="3" width="20.7109375" style="100" customWidth="1"/>
    <col min="4" max="4" width="24" style="220" customWidth="1"/>
    <col min="5" max="5" width="20.7109375" style="100" customWidth="1"/>
    <col min="6" max="6" width="14.5703125" style="100" customWidth="1"/>
    <col min="7" max="256" width="9.140625" style="100"/>
    <col min="257" max="257" width="6.28515625" style="100" customWidth="1"/>
    <col min="258" max="258" width="48.140625" style="100" customWidth="1"/>
    <col min="259" max="259" width="20.7109375" style="100" customWidth="1"/>
    <col min="260" max="260" width="24" style="100" customWidth="1"/>
    <col min="261" max="261" width="20.7109375" style="100" customWidth="1"/>
    <col min="262" max="262" width="14.5703125" style="100" customWidth="1"/>
    <col min="263" max="512" width="9.140625" style="100"/>
    <col min="513" max="513" width="6.28515625" style="100" customWidth="1"/>
    <col min="514" max="514" width="48.140625" style="100" customWidth="1"/>
    <col min="515" max="515" width="20.7109375" style="100" customWidth="1"/>
    <col min="516" max="516" width="24" style="100" customWidth="1"/>
    <col min="517" max="517" width="20.7109375" style="100" customWidth="1"/>
    <col min="518" max="518" width="14.5703125" style="100" customWidth="1"/>
    <col min="519" max="768" width="9.140625" style="100"/>
    <col min="769" max="769" width="6.28515625" style="100" customWidth="1"/>
    <col min="770" max="770" width="48.140625" style="100" customWidth="1"/>
    <col min="771" max="771" width="20.7109375" style="100" customWidth="1"/>
    <col min="772" max="772" width="24" style="100" customWidth="1"/>
    <col min="773" max="773" width="20.7109375" style="100" customWidth="1"/>
    <col min="774" max="774" width="14.5703125" style="100" customWidth="1"/>
    <col min="775" max="1024" width="9.140625" style="100"/>
    <col min="1025" max="1025" width="6.28515625" style="100" customWidth="1"/>
    <col min="1026" max="1026" width="48.140625" style="100" customWidth="1"/>
    <col min="1027" max="1027" width="20.7109375" style="100" customWidth="1"/>
    <col min="1028" max="1028" width="24" style="100" customWidth="1"/>
    <col min="1029" max="1029" width="20.7109375" style="100" customWidth="1"/>
    <col min="1030" max="1030" width="14.5703125" style="100" customWidth="1"/>
    <col min="1031" max="1280" width="9.140625" style="100"/>
    <col min="1281" max="1281" width="6.28515625" style="100" customWidth="1"/>
    <col min="1282" max="1282" width="48.140625" style="100" customWidth="1"/>
    <col min="1283" max="1283" width="20.7109375" style="100" customWidth="1"/>
    <col min="1284" max="1284" width="24" style="100" customWidth="1"/>
    <col min="1285" max="1285" width="20.7109375" style="100" customWidth="1"/>
    <col min="1286" max="1286" width="14.5703125" style="100" customWidth="1"/>
    <col min="1287" max="1536" width="9.140625" style="100"/>
    <col min="1537" max="1537" width="6.28515625" style="100" customWidth="1"/>
    <col min="1538" max="1538" width="48.140625" style="100" customWidth="1"/>
    <col min="1539" max="1539" width="20.7109375" style="100" customWidth="1"/>
    <col min="1540" max="1540" width="24" style="100" customWidth="1"/>
    <col min="1541" max="1541" width="20.7109375" style="100" customWidth="1"/>
    <col min="1542" max="1542" width="14.5703125" style="100" customWidth="1"/>
    <col min="1543" max="1792" width="9.140625" style="100"/>
    <col min="1793" max="1793" width="6.28515625" style="100" customWidth="1"/>
    <col min="1794" max="1794" width="48.140625" style="100" customWidth="1"/>
    <col min="1795" max="1795" width="20.7109375" style="100" customWidth="1"/>
    <col min="1796" max="1796" width="24" style="100" customWidth="1"/>
    <col min="1797" max="1797" width="20.7109375" style="100" customWidth="1"/>
    <col min="1798" max="1798" width="14.5703125" style="100" customWidth="1"/>
    <col min="1799" max="2048" width="9.140625" style="100"/>
    <col min="2049" max="2049" width="6.28515625" style="100" customWidth="1"/>
    <col min="2050" max="2050" width="48.140625" style="100" customWidth="1"/>
    <col min="2051" max="2051" width="20.7109375" style="100" customWidth="1"/>
    <col min="2052" max="2052" width="24" style="100" customWidth="1"/>
    <col min="2053" max="2053" width="20.7109375" style="100" customWidth="1"/>
    <col min="2054" max="2054" width="14.5703125" style="100" customWidth="1"/>
    <col min="2055" max="2304" width="9.140625" style="100"/>
    <col min="2305" max="2305" width="6.28515625" style="100" customWidth="1"/>
    <col min="2306" max="2306" width="48.140625" style="100" customWidth="1"/>
    <col min="2307" max="2307" width="20.7109375" style="100" customWidth="1"/>
    <col min="2308" max="2308" width="24" style="100" customWidth="1"/>
    <col min="2309" max="2309" width="20.7109375" style="100" customWidth="1"/>
    <col min="2310" max="2310" width="14.5703125" style="100" customWidth="1"/>
    <col min="2311" max="2560" width="9.140625" style="100"/>
    <col min="2561" max="2561" width="6.28515625" style="100" customWidth="1"/>
    <col min="2562" max="2562" width="48.140625" style="100" customWidth="1"/>
    <col min="2563" max="2563" width="20.7109375" style="100" customWidth="1"/>
    <col min="2564" max="2564" width="24" style="100" customWidth="1"/>
    <col min="2565" max="2565" width="20.7109375" style="100" customWidth="1"/>
    <col min="2566" max="2566" width="14.5703125" style="100" customWidth="1"/>
    <col min="2567" max="2816" width="9.140625" style="100"/>
    <col min="2817" max="2817" width="6.28515625" style="100" customWidth="1"/>
    <col min="2818" max="2818" width="48.140625" style="100" customWidth="1"/>
    <col min="2819" max="2819" width="20.7109375" style="100" customWidth="1"/>
    <col min="2820" max="2820" width="24" style="100" customWidth="1"/>
    <col min="2821" max="2821" width="20.7109375" style="100" customWidth="1"/>
    <col min="2822" max="2822" width="14.5703125" style="100" customWidth="1"/>
    <col min="2823" max="3072" width="9.140625" style="100"/>
    <col min="3073" max="3073" width="6.28515625" style="100" customWidth="1"/>
    <col min="3074" max="3074" width="48.140625" style="100" customWidth="1"/>
    <col min="3075" max="3075" width="20.7109375" style="100" customWidth="1"/>
    <col min="3076" max="3076" width="24" style="100" customWidth="1"/>
    <col min="3077" max="3077" width="20.7109375" style="100" customWidth="1"/>
    <col min="3078" max="3078" width="14.5703125" style="100" customWidth="1"/>
    <col min="3079" max="3328" width="9.140625" style="100"/>
    <col min="3329" max="3329" width="6.28515625" style="100" customWidth="1"/>
    <col min="3330" max="3330" width="48.140625" style="100" customWidth="1"/>
    <col min="3331" max="3331" width="20.7109375" style="100" customWidth="1"/>
    <col min="3332" max="3332" width="24" style="100" customWidth="1"/>
    <col min="3333" max="3333" width="20.7109375" style="100" customWidth="1"/>
    <col min="3334" max="3334" width="14.5703125" style="100" customWidth="1"/>
    <col min="3335" max="3584" width="9.140625" style="100"/>
    <col min="3585" max="3585" width="6.28515625" style="100" customWidth="1"/>
    <col min="3586" max="3586" width="48.140625" style="100" customWidth="1"/>
    <col min="3587" max="3587" width="20.7109375" style="100" customWidth="1"/>
    <col min="3588" max="3588" width="24" style="100" customWidth="1"/>
    <col min="3589" max="3589" width="20.7109375" style="100" customWidth="1"/>
    <col min="3590" max="3590" width="14.5703125" style="100" customWidth="1"/>
    <col min="3591" max="3840" width="9.140625" style="100"/>
    <col min="3841" max="3841" width="6.28515625" style="100" customWidth="1"/>
    <col min="3842" max="3842" width="48.140625" style="100" customWidth="1"/>
    <col min="3843" max="3843" width="20.7109375" style="100" customWidth="1"/>
    <col min="3844" max="3844" width="24" style="100" customWidth="1"/>
    <col min="3845" max="3845" width="20.7109375" style="100" customWidth="1"/>
    <col min="3846" max="3846" width="14.5703125" style="100" customWidth="1"/>
    <col min="3847" max="4096" width="9.140625" style="100"/>
    <col min="4097" max="4097" width="6.28515625" style="100" customWidth="1"/>
    <col min="4098" max="4098" width="48.140625" style="100" customWidth="1"/>
    <col min="4099" max="4099" width="20.7109375" style="100" customWidth="1"/>
    <col min="4100" max="4100" width="24" style="100" customWidth="1"/>
    <col min="4101" max="4101" width="20.7109375" style="100" customWidth="1"/>
    <col min="4102" max="4102" width="14.5703125" style="100" customWidth="1"/>
    <col min="4103" max="4352" width="9.140625" style="100"/>
    <col min="4353" max="4353" width="6.28515625" style="100" customWidth="1"/>
    <col min="4354" max="4354" width="48.140625" style="100" customWidth="1"/>
    <col min="4355" max="4355" width="20.7109375" style="100" customWidth="1"/>
    <col min="4356" max="4356" width="24" style="100" customWidth="1"/>
    <col min="4357" max="4357" width="20.7109375" style="100" customWidth="1"/>
    <col min="4358" max="4358" width="14.5703125" style="100" customWidth="1"/>
    <col min="4359" max="4608" width="9.140625" style="100"/>
    <col min="4609" max="4609" width="6.28515625" style="100" customWidth="1"/>
    <col min="4610" max="4610" width="48.140625" style="100" customWidth="1"/>
    <col min="4611" max="4611" width="20.7109375" style="100" customWidth="1"/>
    <col min="4612" max="4612" width="24" style="100" customWidth="1"/>
    <col min="4613" max="4613" width="20.7109375" style="100" customWidth="1"/>
    <col min="4614" max="4614" width="14.5703125" style="100" customWidth="1"/>
    <col min="4615" max="4864" width="9.140625" style="100"/>
    <col min="4865" max="4865" width="6.28515625" style="100" customWidth="1"/>
    <col min="4866" max="4866" width="48.140625" style="100" customWidth="1"/>
    <col min="4867" max="4867" width="20.7109375" style="100" customWidth="1"/>
    <col min="4868" max="4868" width="24" style="100" customWidth="1"/>
    <col min="4869" max="4869" width="20.7109375" style="100" customWidth="1"/>
    <col min="4870" max="4870" width="14.5703125" style="100" customWidth="1"/>
    <col min="4871" max="5120" width="9.140625" style="100"/>
    <col min="5121" max="5121" width="6.28515625" style="100" customWidth="1"/>
    <col min="5122" max="5122" width="48.140625" style="100" customWidth="1"/>
    <col min="5123" max="5123" width="20.7109375" style="100" customWidth="1"/>
    <col min="5124" max="5124" width="24" style="100" customWidth="1"/>
    <col min="5125" max="5125" width="20.7109375" style="100" customWidth="1"/>
    <col min="5126" max="5126" width="14.5703125" style="100" customWidth="1"/>
    <col min="5127" max="5376" width="9.140625" style="100"/>
    <col min="5377" max="5377" width="6.28515625" style="100" customWidth="1"/>
    <col min="5378" max="5378" width="48.140625" style="100" customWidth="1"/>
    <col min="5379" max="5379" width="20.7109375" style="100" customWidth="1"/>
    <col min="5380" max="5380" width="24" style="100" customWidth="1"/>
    <col min="5381" max="5381" width="20.7109375" style="100" customWidth="1"/>
    <col min="5382" max="5382" width="14.5703125" style="100" customWidth="1"/>
    <col min="5383" max="5632" width="9.140625" style="100"/>
    <col min="5633" max="5633" width="6.28515625" style="100" customWidth="1"/>
    <col min="5634" max="5634" width="48.140625" style="100" customWidth="1"/>
    <col min="5635" max="5635" width="20.7109375" style="100" customWidth="1"/>
    <col min="5636" max="5636" width="24" style="100" customWidth="1"/>
    <col min="5637" max="5637" width="20.7109375" style="100" customWidth="1"/>
    <col min="5638" max="5638" width="14.5703125" style="100" customWidth="1"/>
    <col min="5639" max="5888" width="9.140625" style="100"/>
    <col min="5889" max="5889" width="6.28515625" style="100" customWidth="1"/>
    <col min="5890" max="5890" width="48.140625" style="100" customWidth="1"/>
    <col min="5891" max="5891" width="20.7109375" style="100" customWidth="1"/>
    <col min="5892" max="5892" width="24" style="100" customWidth="1"/>
    <col min="5893" max="5893" width="20.7109375" style="100" customWidth="1"/>
    <col min="5894" max="5894" width="14.5703125" style="100" customWidth="1"/>
    <col min="5895" max="6144" width="9.140625" style="100"/>
    <col min="6145" max="6145" width="6.28515625" style="100" customWidth="1"/>
    <col min="6146" max="6146" width="48.140625" style="100" customWidth="1"/>
    <col min="6147" max="6147" width="20.7109375" style="100" customWidth="1"/>
    <col min="6148" max="6148" width="24" style="100" customWidth="1"/>
    <col min="6149" max="6149" width="20.7109375" style="100" customWidth="1"/>
    <col min="6150" max="6150" width="14.5703125" style="100" customWidth="1"/>
    <col min="6151" max="6400" width="9.140625" style="100"/>
    <col min="6401" max="6401" width="6.28515625" style="100" customWidth="1"/>
    <col min="6402" max="6402" width="48.140625" style="100" customWidth="1"/>
    <col min="6403" max="6403" width="20.7109375" style="100" customWidth="1"/>
    <col min="6404" max="6404" width="24" style="100" customWidth="1"/>
    <col min="6405" max="6405" width="20.7109375" style="100" customWidth="1"/>
    <col min="6406" max="6406" width="14.5703125" style="100" customWidth="1"/>
    <col min="6407" max="6656" width="9.140625" style="100"/>
    <col min="6657" max="6657" width="6.28515625" style="100" customWidth="1"/>
    <col min="6658" max="6658" width="48.140625" style="100" customWidth="1"/>
    <col min="6659" max="6659" width="20.7109375" style="100" customWidth="1"/>
    <col min="6660" max="6660" width="24" style="100" customWidth="1"/>
    <col min="6661" max="6661" width="20.7109375" style="100" customWidth="1"/>
    <col min="6662" max="6662" width="14.5703125" style="100" customWidth="1"/>
    <col min="6663" max="6912" width="9.140625" style="100"/>
    <col min="6913" max="6913" width="6.28515625" style="100" customWidth="1"/>
    <col min="6914" max="6914" width="48.140625" style="100" customWidth="1"/>
    <col min="6915" max="6915" width="20.7109375" style="100" customWidth="1"/>
    <col min="6916" max="6916" width="24" style="100" customWidth="1"/>
    <col min="6917" max="6917" width="20.7109375" style="100" customWidth="1"/>
    <col min="6918" max="6918" width="14.5703125" style="100" customWidth="1"/>
    <col min="6919" max="7168" width="9.140625" style="100"/>
    <col min="7169" max="7169" width="6.28515625" style="100" customWidth="1"/>
    <col min="7170" max="7170" width="48.140625" style="100" customWidth="1"/>
    <col min="7171" max="7171" width="20.7109375" style="100" customWidth="1"/>
    <col min="7172" max="7172" width="24" style="100" customWidth="1"/>
    <col min="7173" max="7173" width="20.7109375" style="100" customWidth="1"/>
    <col min="7174" max="7174" width="14.5703125" style="100" customWidth="1"/>
    <col min="7175" max="7424" width="9.140625" style="100"/>
    <col min="7425" max="7425" width="6.28515625" style="100" customWidth="1"/>
    <col min="7426" max="7426" width="48.140625" style="100" customWidth="1"/>
    <col min="7427" max="7427" width="20.7109375" style="100" customWidth="1"/>
    <col min="7428" max="7428" width="24" style="100" customWidth="1"/>
    <col min="7429" max="7429" width="20.7109375" style="100" customWidth="1"/>
    <col min="7430" max="7430" width="14.5703125" style="100" customWidth="1"/>
    <col min="7431" max="7680" width="9.140625" style="100"/>
    <col min="7681" max="7681" width="6.28515625" style="100" customWidth="1"/>
    <col min="7682" max="7682" width="48.140625" style="100" customWidth="1"/>
    <col min="7683" max="7683" width="20.7109375" style="100" customWidth="1"/>
    <col min="7684" max="7684" width="24" style="100" customWidth="1"/>
    <col min="7685" max="7685" width="20.7109375" style="100" customWidth="1"/>
    <col min="7686" max="7686" width="14.5703125" style="100" customWidth="1"/>
    <col min="7687" max="7936" width="9.140625" style="100"/>
    <col min="7937" max="7937" width="6.28515625" style="100" customWidth="1"/>
    <col min="7938" max="7938" width="48.140625" style="100" customWidth="1"/>
    <col min="7939" max="7939" width="20.7109375" style="100" customWidth="1"/>
    <col min="7940" max="7940" width="24" style="100" customWidth="1"/>
    <col min="7941" max="7941" width="20.7109375" style="100" customWidth="1"/>
    <col min="7942" max="7942" width="14.5703125" style="100" customWidth="1"/>
    <col min="7943" max="8192" width="9.140625" style="100"/>
    <col min="8193" max="8193" width="6.28515625" style="100" customWidth="1"/>
    <col min="8194" max="8194" width="48.140625" style="100" customWidth="1"/>
    <col min="8195" max="8195" width="20.7109375" style="100" customWidth="1"/>
    <col min="8196" max="8196" width="24" style="100" customWidth="1"/>
    <col min="8197" max="8197" width="20.7109375" style="100" customWidth="1"/>
    <col min="8198" max="8198" width="14.5703125" style="100" customWidth="1"/>
    <col min="8199" max="8448" width="9.140625" style="100"/>
    <col min="8449" max="8449" width="6.28515625" style="100" customWidth="1"/>
    <col min="8450" max="8450" width="48.140625" style="100" customWidth="1"/>
    <col min="8451" max="8451" width="20.7109375" style="100" customWidth="1"/>
    <col min="8452" max="8452" width="24" style="100" customWidth="1"/>
    <col min="8453" max="8453" width="20.7109375" style="100" customWidth="1"/>
    <col min="8454" max="8454" width="14.5703125" style="100" customWidth="1"/>
    <col min="8455" max="8704" width="9.140625" style="100"/>
    <col min="8705" max="8705" width="6.28515625" style="100" customWidth="1"/>
    <col min="8706" max="8706" width="48.140625" style="100" customWidth="1"/>
    <col min="8707" max="8707" width="20.7109375" style="100" customWidth="1"/>
    <col min="8708" max="8708" width="24" style="100" customWidth="1"/>
    <col min="8709" max="8709" width="20.7109375" style="100" customWidth="1"/>
    <col min="8710" max="8710" width="14.5703125" style="100" customWidth="1"/>
    <col min="8711" max="8960" width="9.140625" style="100"/>
    <col min="8961" max="8961" width="6.28515625" style="100" customWidth="1"/>
    <col min="8962" max="8962" width="48.140625" style="100" customWidth="1"/>
    <col min="8963" max="8963" width="20.7109375" style="100" customWidth="1"/>
    <col min="8964" max="8964" width="24" style="100" customWidth="1"/>
    <col min="8965" max="8965" width="20.7109375" style="100" customWidth="1"/>
    <col min="8966" max="8966" width="14.5703125" style="100" customWidth="1"/>
    <col min="8967" max="9216" width="9.140625" style="100"/>
    <col min="9217" max="9217" width="6.28515625" style="100" customWidth="1"/>
    <col min="9218" max="9218" width="48.140625" style="100" customWidth="1"/>
    <col min="9219" max="9219" width="20.7109375" style="100" customWidth="1"/>
    <col min="9220" max="9220" width="24" style="100" customWidth="1"/>
    <col min="9221" max="9221" width="20.7109375" style="100" customWidth="1"/>
    <col min="9222" max="9222" width="14.5703125" style="100" customWidth="1"/>
    <col min="9223" max="9472" width="9.140625" style="100"/>
    <col min="9473" max="9473" width="6.28515625" style="100" customWidth="1"/>
    <col min="9474" max="9474" width="48.140625" style="100" customWidth="1"/>
    <col min="9475" max="9475" width="20.7109375" style="100" customWidth="1"/>
    <col min="9476" max="9476" width="24" style="100" customWidth="1"/>
    <col min="9477" max="9477" width="20.7109375" style="100" customWidth="1"/>
    <col min="9478" max="9478" width="14.5703125" style="100" customWidth="1"/>
    <col min="9479" max="9728" width="9.140625" style="100"/>
    <col min="9729" max="9729" width="6.28515625" style="100" customWidth="1"/>
    <col min="9730" max="9730" width="48.140625" style="100" customWidth="1"/>
    <col min="9731" max="9731" width="20.7109375" style="100" customWidth="1"/>
    <col min="9732" max="9732" width="24" style="100" customWidth="1"/>
    <col min="9733" max="9733" width="20.7109375" style="100" customWidth="1"/>
    <col min="9734" max="9734" width="14.5703125" style="100" customWidth="1"/>
    <col min="9735" max="9984" width="9.140625" style="100"/>
    <col min="9985" max="9985" width="6.28515625" style="100" customWidth="1"/>
    <col min="9986" max="9986" width="48.140625" style="100" customWidth="1"/>
    <col min="9987" max="9987" width="20.7109375" style="100" customWidth="1"/>
    <col min="9988" max="9988" width="24" style="100" customWidth="1"/>
    <col min="9989" max="9989" width="20.7109375" style="100" customWidth="1"/>
    <col min="9990" max="9990" width="14.5703125" style="100" customWidth="1"/>
    <col min="9991" max="10240" width="9.140625" style="100"/>
    <col min="10241" max="10241" width="6.28515625" style="100" customWidth="1"/>
    <col min="10242" max="10242" width="48.140625" style="100" customWidth="1"/>
    <col min="10243" max="10243" width="20.7109375" style="100" customWidth="1"/>
    <col min="10244" max="10244" width="24" style="100" customWidth="1"/>
    <col min="10245" max="10245" width="20.7109375" style="100" customWidth="1"/>
    <col min="10246" max="10246" width="14.5703125" style="100" customWidth="1"/>
    <col min="10247" max="10496" width="9.140625" style="100"/>
    <col min="10497" max="10497" width="6.28515625" style="100" customWidth="1"/>
    <col min="10498" max="10498" width="48.140625" style="100" customWidth="1"/>
    <col min="10499" max="10499" width="20.7109375" style="100" customWidth="1"/>
    <col min="10500" max="10500" width="24" style="100" customWidth="1"/>
    <col min="10501" max="10501" width="20.7109375" style="100" customWidth="1"/>
    <col min="10502" max="10502" width="14.5703125" style="100" customWidth="1"/>
    <col min="10503" max="10752" width="9.140625" style="100"/>
    <col min="10753" max="10753" width="6.28515625" style="100" customWidth="1"/>
    <col min="10754" max="10754" width="48.140625" style="100" customWidth="1"/>
    <col min="10755" max="10755" width="20.7109375" style="100" customWidth="1"/>
    <col min="10756" max="10756" width="24" style="100" customWidth="1"/>
    <col min="10757" max="10757" width="20.7109375" style="100" customWidth="1"/>
    <col min="10758" max="10758" width="14.5703125" style="100" customWidth="1"/>
    <col min="10759" max="11008" width="9.140625" style="100"/>
    <col min="11009" max="11009" width="6.28515625" style="100" customWidth="1"/>
    <col min="11010" max="11010" width="48.140625" style="100" customWidth="1"/>
    <col min="11011" max="11011" width="20.7109375" style="100" customWidth="1"/>
    <col min="11012" max="11012" width="24" style="100" customWidth="1"/>
    <col min="11013" max="11013" width="20.7109375" style="100" customWidth="1"/>
    <col min="11014" max="11014" width="14.5703125" style="100" customWidth="1"/>
    <col min="11015" max="11264" width="9.140625" style="100"/>
    <col min="11265" max="11265" width="6.28515625" style="100" customWidth="1"/>
    <col min="11266" max="11266" width="48.140625" style="100" customWidth="1"/>
    <col min="11267" max="11267" width="20.7109375" style="100" customWidth="1"/>
    <col min="11268" max="11268" width="24" style="100" customWidth="1"/>
    <col min="11269" max="11269" width="20.7109375" style="100" customWidth="1"/>
    <col min="11270" max="11270" width="14.5703125" style="100" customWidth="1"/>
    <col min="11271" max="11520" width="9.140625" style="100"/>
    <col min="11521" max="11521" width="6.28515625" style="100" customWidth="1"/>
    <col min="11522" max="11522" width="48.140625" style="100" customWidth="1"/>
    <col min="11523" max="11523" width="20.7109375" style="100" customWidth="1"/>
    <col min="11524" max="11524" width="24" style="100" customWidth="1"/>
    <col min="11525" max="11525" width="20.7109375" style="100" customWidth="1"/>
    <col min="11526" max="11526" width="14.5703125" style="100" customWidth="1"/>
    <col min="11527" max="11776" width="9.140625" style="100"/>
    <col min="11777" max="11777" width="6.28515625" style="100" customWidth="1"/>
    <col min="11778" max="11778" width="48.140625" style="100" customWidth="1"/>
    <col min="11779" max="11779" width="20.7109375" style="100" customWidth="1"/>
    <col min="11780" max="11780" width="24" style="100" customWidth="1"/>
    <col min="11781" max="11781" width="20.7109375" style="100" customWidth="1"/>
    <col min="11782" max="11782" width="14.5703125" style="100" customWidth="1"/>
    <col min="11783" max="12032" width="9.140625" style="100"/>
    <col min="12033" max="12033" width="6.28515625" style="100" customWidth="1"/>
    <col min="12034" max="12034" width="48.140625" style="100" customWidth="1"/>
    <col min="12035" max="12035" width="20.7109375" style="100" customWidth="1"/>
    <col min="12036" max="12036" width="24" style="100" customWidth="1"/>
    <col min="12037" max="12037" width="20.7109375" style="100" customWidth="1"/>
    <col min="12038" max="12038" width="14.5703125" style="100" customWidth="1"/>
    <col min="12039" max="12288" width="9.140625" style="100"/>
    <col min="12289" max="12289" width="6.28515625" style="100" customWidth="1"/>
    <col min="12290" max="12290" width="48.140625" style="100" customWidth="1"/>
    <col min="12291" max="12291" width="20.7109375" style="100" customWidth="1"/>
    <col min="12292" max="12292" width="24" style="100" customWidth="1"/>
    <col min="12293" max="12293" width="20.7109375" style="100" customWidth="1"/>
    <col min="12294" max="12294" width="14.5703125" style="100" customWidth="1"/>
    <col min="12295" max="12544" width="9.140625" style="100"/>
    <col min="12545" max="12545" width="6.28515625" style="100" customWidth="1"/>
    <col min="12546" max="12546" width="48.140625" style="100" customWidth="1"/>
    <col min="12547" max="12547" width="20.7109375" style="100" customWidth="1"/>
    <col min="12548" max="12548" width="24" style="100" customWidth="1"/>
    <col min="12549" max="12549" width="20.7109375" style="100" customWidth="1"/>
    <col min="12550" max="12550" width="14.5703125" style="100" customWidth="1"/>
    <col min="12551" max="12800" width="9.140625" style="100"/>
    <col min="12801" max="12801" width="6.28515625" style="100" customWidth="1"/>
    <col min="12802" max="12802" width="48.140625" style="100" customWidth="1"/>
    <col min="12803" max="12803" width="20.7109375" style="100" customWidth="1"/>
    <col min="12804" max="12804" width="24" style="100" customWidth="1"/>
    <col min="12805" max="12805" width="20.7109375" style="100" customWidth="1"/>
    <col min="12806" max="12806" width="14.5703125" style="100" customWidth="1"/>
    <col min="12807" max="13056" width="9.140625" style="100"/>
    <col min="13057" max="13057" width="6.28515625" style="100" customWidth="1"/>
    <col min="13058" max="13058" width="48.140625" style="100" customWidth="1"/>
    <col min="13059" max="13059" width="20.7109375" style="100" customWidth="1"/>
    <col min="13060" max="13060" width="24" style="100" customWidth="1"/>
    <col min="13061" max="13061" width="20.7109375" style="100" customWidth="1"/>
    <col min="13062" max="13062" width="14.5703125" style="100" customWidth="1"/>
    <col min="13063" max="13312" width="9.140625" style="100"/>
    <col min="13313" max="13313" width="6.28515625" style="100" customWidth="1"/>
    <col min="13314" max="13314" width="48.140625" style="100" customWidth="1"/>
    <col min="13315" max="13315" width="20.7109375" style="100" customWidth="1"/>
    <col min="13316" max="13316" width="24" style="100" customWidth="1"/>
    <col min="13317" max="13317" width="20.7109375" style="100" customWidth="1"/>
    <col min="13318" max="13318" width="14.5703125" style="100" customWidth="1"/>
    <col min="13319" max="13568" width="9.140625" style="100"/>
    <col min="13569" max="13569" width="6.28515625" style="100" customWidth="1"/>
    <col min="13570" max="13570" width="48.140625" style="100" customWidth="1"/>
    <col min="13571" max="13571" width="20.7109375" style="100" customWidth="1"/>
    <col min="13572" max="13572" width="24" style="100" customWidth="1"/>
    <col min="13573" max="13573" width="20.7109375" style="100" customWidth="1"/>
    <col min="13574" max="13574" width="14.5703125" style="100" customWidth="1"/>
    <col min="13575" max="13824" width="9.140625" style="100"/>
    <col min="13825" max="13825" width="6.28515625" style="100" customWidth="1"/>
    <col min="13826" max="13826" width="48.140625" style="100" customWidth="1"/>
    <col min="13827" max="13827" width="20.7109375" style="100" customWidth="1"/>
    <col min="13828" max="13828" width="24" style="100" customWidth="1"/>
    <col min="13829" max="13829" width="20.7109375" style="100" customWidth="1"/>
    <col min="13830" max="13830" width="14.5703125" style="100" customWidth="1"/>
    <col min="13831" max="14080" width="9.140625" style="100"/>
    <col min="14081" max="14081" width="6.28515625" style="100" customWidth="1"/>
    <col min="14082" max="14082" width="48.140625" style="100" customWidth="1"/>
    <col min="14083" max="14083" width="20.7109375" style="100" customWidth="1"/>
    <col min="14084" max="14084" width="24" style="100" customWidth="1"/>
    <col min="14085" max="14085" width="20.7109375" style="100" customWidth="1"/>
    <col min="14086" max="14086" width="14.5703125" style="100" customWidth="1"/>
    <col min="14087" max="14336" width="9.140625" style="100"/>
    <col min="14337" max="14337" width="6.28515625" style="100" customWidth="1"/>
    <col min="14338" max="14338" width="48.140625" style="100" customWidth="1"/>
    <col min="14339" max="14339" width="20.7109375" style="100" customWidth="1"/>
    <col min="14340" max="14340" width="24" style="100" customWidth="1"/>
    <col min="14341" max="14341" width="20.7109375" style="100" customWidth="1"/>
    <col min="14342" max="14342" width="14.5703125" style="100" customWidth="1"/>
    <col min="14343" max="14592" width="9.140625" style="100"/>
    <col min="14593" max="14593" width="6.28515625" style="100" customWidth="1"/>
    <col min="14594" max="14594" width="48.140625" style="100" customWidth="1"/>
    <col min="14595" max="14595" width="20.7109375" style="100" customWidth="1"/>
    <col min="14596" max="14596" width="24" style="100" customWidth="1"/>
    <col min="14597" max="14597" width="20.7109375" style="100" customWidth="1"/>
    <col min="14598" max="14598" width="14.5703125" style="100" customWidth="1"/>
    <col min="14599" max="14848" width="9.140625" style="100"/>
    <col min="14849" max="14849" width="6.28515625" style="100" customWidth="1"/>
    <col min="14850" max="14850" width="48.140625" style="100" customWidth="1"/>
    <col min="14851" max="14851" width="20.7109375" style="100" customWidth="1"/>
    <col min="14852" max="14852" width="24" style="100" customWidth="1"/>
    <col min="14853" max="14853" width="20.7109375" style="100" customWidth="1"/>
    <col min="14854" max="14854" width="14.5703125" style="100" customWidth="1"/>
    <col min="14855" max="15104" width="9.140625" style="100"/>
    <col min="15105" max="15105" width="6.28515625" style="100" customWidth="1"/>
    <col min="15106" max="15106" width="48.140625" style="100" customWidth="1"/>
    <col min="15107" max="15107" width="20.7109375" style="100" customWidth="1"/>
    <col min="15108" max="15108" width="24" style="100" customWidth="1"/>
    <col min="15109" max="15109" width="20.7109375" style="100" customWidth="1"/>
    <col min="15110" max="15110" width="14.5703125" style="100" customWidth="1"/>
    <col min="15111" max="15360" width="9.140625" style="100"/>
    <col min="15361" max="15361" width="6.28515625" style="100" customWidth="1"/>
    <col min="15362" max="15362" width="48.140625" style="100" customWidth="1"/>
    <col min="15363" max="15363" width="20.7109375" style="100" customWidth="1"/>
    <col min="15364" max="15364" width="24" style="100" customWidth="1"/>
    <col min="15365" max="15365" width="20.7109375" style="100" customWidth="1"/>
    <col min="15366" max="15366" width="14.5703125" style="100" customWidth="1"/>
    <col min="15367" max="15616" width="9.140625" style="100"/>
    <col min="15617" max="15617" width="6.28515625" style="100" customWidth="1"/>
    <col min="15618" max="15618" width="48.140625" style="100" customWidth="1"/>
    <col min="15619" max="15619" width="20.7109375" style="100" customWidth="1"/>
    <col min="15620" max="15620" width="24" style="100" customWidth="1"/>
    <col min="15621" max="15621" width="20.7109375" style="100" customWidth="1"/>
    <col min="15622" max="15622" width="14.5703125" style="100" customWidth="1"/>
    <col min="15623" max="15872" width="9.140625" style="100"/>
    <col min="15873" max="15873" width="6.28515625" style="100" customWidth="1"/>
    <col min="15874" max="15874" width="48.140625" style="100" customWidth="1"/>
    <col min="15875" max="15875" width="20.7109375" style="100" customWidth="1"/>
    <col min="15876" max="15876" width="24" style="100" customWidth="1"/>
    <col min="15877" max="15877" width="20.7109375" style="100" customWidth="1"/>
    <col min="15878" max="15878" width="14.5703125" style="100" customWidth="1"/>
    <col min="15879" max="16128" width="9.140625" style="100"/>
    <col min="16129" max="16129" width="6.28515625" style="100" customWidth="1"/>
    <col min="16130" max="16130" width="48.140625" style="100" customWidth="1"/>
    <col min="16131" max="16131" width="20.7109375" style="100" customWidth="1"/>
    <col min="16132" max="16132" width="24" style="100" customWidth="1"/>
    <col min="16133" max="16133" width="20.7109375" style="100" customWidth="1"/>
    <col min="16134" max="16134" width="14.5703125" style="100" customWidth="1"/>
    <col min="16135" max="16384" width="9.140625" style="100"/>
  </cols>
  <sheetData>
    <row r="1" spans="1:7" ht="76.5" customHeight="1" x14ac:dyDescent="0.3">
      <c r="B1" s="423" t="s">
        <v>438</v>
      </c>
      <c r="C1" s="424"/>
      <c r="D1" s="424"/>
      <c r="E1" s="424"/>
    </row>
    <row r="2" spans="1:7" x14ac:dyDescent="0.3">
      <c r="B2" s="111"/>
      <c r="C2" s="225"/>
      <c r="D2" s="225"/>
      <c r="E2" s="111" t="s">
        <v>360</v>
      </c>
    </row>
    <row r="3" spans="1:7" ht="67.5" customHeight="1" x14ac:dyDescent="0.3">
      <c r="A3" s="425" t="s">
        <v>439</v>
      </c>
      <c r="B3" s="425"/>
      <c r="C3" s="425"/>
      <c r="D3" s="425"/>
      <c r="E3" s="425"/>
    </row>
    <row r="4" spans="1:7" ht="18.75" customHeight="1" x14ac:dyDescent="0.3">
      <c r="E4" s="101" t="s">
        <v>357</v>
      </c>
    </row>
    <row r="5" spans="1:7" ht="15.75" customHeight="1" x14ac:dyDescent="0.3">
      <c r="A5" s="426" t="s">
        <v>0</v>
      </c>
      <c r="B5" s="426" t="s">
        <v>1</v>
      </c>
      <c r="C5" s="427" t="s">
        <v>358</v>
      </c>
      <c r="D5" s="428" t="s">
        <v>406</v>
      </c>
      <c r="E5" s="427" t="s">
        <v>359</v>
      </c>
    </row>
    <row r="6" spans="1:7" ht="58.5" customHeight="1" x14ac:dyDescent="0.3">
      <c r="A6" s="426"/>
      <c r="B6" s="426"/>
      <c r="C6" s="427"/>
      <c r="D6" s="428"/>
      <c r="E6" s="427"/>
    </row>
    <row r="7" spans="1:7" x14ac:dyDescent="0.3">
      <c r="A7" s="226">
        <v>1</v>
      </c>
      <c r="B7" s="226">
        <v>2</v>
      </c>
      <c r="C7" s="227">
        <v>3</v>
      </c>
      <c r="D7" s="228">
        <v>4</v>
      </c>
      <c r="E7" s="227">
        <v>5</v>
      </c>
    </row>
    <row r="8" spans="1:7" x14ac:dyDescent="0.3">
      <c r="A8" s="229">
        <v>1</v>
      </c>
      <c r="B8" s="230" t="s">
        <v>7</v>
      </c>
      <c r="C8" s="103">
        <v>166933</v>
      </c>
      <c r="D8" s="103">
        <v>166933</v>
      </c>
      <c r="E8" s="103">
        <v>0</v>
      </c>
      <c r="F8" s="235"/>
      <c r="G8" s="235"/>
    </row>
    <row r="9" spans="1:7" x14ac:dyDescent="0.3">
      <c r="A9" s="229">
        <v>2</v>
      </c>
      <c r="B9" s="230" t="s">
        <v>8</v>
      </c>
      <c r="C9" s="103">
        <v>228001</v>
      </c>
      <c r="D9" s="103">
        <v>228001</v>
      </c>
      <c r="E9" s="103">
        <v>0</v>
      </c>
      <c r="F9" s="235"/>
      <c r="G9" s="235"/>
    </row>
    <row r="10" spans="1:7" x14ac:dyDescent="0.3">
      <c r="A10" s="229">
        <v>3</v>
      </c>
      <c r="B10" s="230" t="s">
        <v>9</v>
      </c>
      <c r="C10" s="103">
        <v>0</v>
      </c>
      <c r="D10" s="103">
        <v>0</v>
      </c>
      <c r="E10" s="103">
        <v>0</v>
      </c>
      <c r="F10" s="235"/>
      <c r="G10" s="235"/>
    </row>
    <row r="11" spans="1:7" x14ac:dyDescent="0.3">
      <c r="A11" s="229">
        <v>4</v>
      </c>
      <c r="B11" s="230" t="s">
        <v>10</v>
      </c>
      <c r="C11" s="103">
        <v>139190</v>
      </c>
      <c r="D11" s="103">
        <v>139190</v>
      </c>
      <c r="E11" s="103">
        <v>0</v>
      </c>
      <c r="F11" s="235"/>
      <c r="G11" s="235"/>
    </row>
    <row r="12" spans="1:7" x14ac:dyDescent="0.3">
      <c r="A12" s="232">
        <v>5</v>
      </c>
      <c r="B12" s="232" t="s">
        <v>11</v>
      </c>
      <c r="C12" s="103">
        <v>407710</v>
      </c>
      <c r="D12" s="103">
        <v>407710</v>
      </c>
      <c r="E12" s="103">
        <v>0</v>
      </c>
      <c r="F12" s="235"/>
      <c r="G12" s="235"/>
    </row>
    <row r="13" spans="1:7" x14ac:dyDescent="0.3">
      <c r="A13" s="232">
        <v>6</v>
      </c>
      <c r="B13" s="232" t="s">
        <v>12</v>
      </c>
      <c r="C13" s="103">
        <v>192633</v>
      </c>
      <c r="D13" s="103">
        <v>192633</v>
      </c>
      <c r="E13" s="103">
        <v>0</v>
      </c>
      <c r="F13" s="235"/>
      <c r="G13" s="235"/>
    </row>
    <row r="14" spans="1:7" x14ac:dyDescent="0.3">
      <c r="A14" s="232">
        <v>7</v>
      </c>
      <c r="B14" s="232" t="s">
        <v>13</v>
      </c>
      <c r="C14" s="103">
        <v>202278</v>
      </c>
      <c r="D14" s="103">
        <v>202278</v>
      </c>
      <c r="E14" s="103">
        <v>0</v>
      </c>
      <c r="F14" s="235"/>
      <c r="G14" s="235"/>
    </row>
    <row r="15" spans="1:7" x14ac:dyDescent="0.3">
      <c r="A15" s="232">
        <v>8</v>
      </c>
      <c r="B15" s="232" t="s">
        <v>14</v>
      </c>
      <c r="C15" s="103">
        <v>139527</v>
      </c>
      <c r="D15" s="103">
        <v>139527</v>
      </c>
      <c r="E15" s="103">
        <v>0</v>
      </c>
      <c r="F15" s="235"/>
      <c r="G15" s="235"/>
    </row>
    <row r="16" spans="1:7" x14ac:dyDescent="0.3">
      <c r="A16" s="232">
        <v>9</v>
      </c>
      <c r="B16" s="232" t="s">
        <v>15</v>
      </c>
      <c r="C16" s="103">
        <v>178522</v>
      </c>
      <c r="D16" s="103">
        <v>178522</v>
      </c>
      <c r="E16" s="103">
        <v>0</v>
      </c>
      <c r="F16" s="235"/>
      <c r="G16" s="235"/>
    </row>
    <row r="17" spans="1:7" x14ac:dyDescent="0.3">
      <c r="A17" s="233">
        <v>10</v>
      </c>
      <c r="B17" s="233" t="s">
        <v>16</v>
      </c>
      <c r="C17" s="103">
        <v>106555</v>
      </c>
      <c r="D17" s="103">
        <v>67878</v>
      </c>
      <c r="E17" s="103">
        <v>38677</v>
      </c>
      <c r="F17" s="235"/>
      <c r="G17" s="235"/>
    </row>
    <row r="18" spans="1:7" x14ac:dyDescent="0.3">
      <c r="A18" s="233">
        <v>11</v>
      </c>
      <c r="B18" s="233" t="s">
        <v>17</v>
      </c>
      <c r="C18" s="103">
        <v>109058</v>
      </c>
      <c r="D18" s="103">
        <v>50966</v>
      </c>
      <c r="E18" s="103">
        <v>58092</v>
      </c>
      <c r="F18" s="235"/>
      <c r="G18" s="235"/>
    </row>
    <row r="19" spans="1:7" x14ac:dyDescent="0.3">
      <c r="A19" s="232">
        <v>12</v>
      </c>
      <c r="B19" s="232" t="s">
        <v>18</v>
      </c>
      <c r="C19" s="103">
        <v>112916</v>
      </c>
      <c r="D19" s="103">
        <v>79036</v>
      </c>
      <c r="E19" s="103">
        <v>33880</v>
      </c>
      <c r="F19" s="235"/>
      <c r="G19" s="235"/>
    </row>
    <row r="20" spans="1:7" x14ac:dyDescent="0.3">
      <c r="A20" s="232">
        <v>13</v>
      </c>
      <c r="B20" s="232" t="s">
        <v>19</v>
      </c>
      <c r="C20" s="103">
        <v>93982</v>
      </c>
      <c r="D20" s="103">
        <v>45608</v>
      </c>
      <c r="E20" s="103">
        <v>48374</v>
      </c>
      <c r="F20" s="235"/>
      <c r="G20" s="235"/>
    </row>
    <row r="21" spans="1:7" x14ac:dyDescent="0.3">
      <c r="A21" s="232">
        <v>14</v>
      </c>
      <c r="B21" s="232" t="s">
        <v>20</v>
      </c>
      <c r="C21" s="103">
        <v>67135</v>
      </c>
      <c r="D21" s="103">
        <v>24853</v>
      </c>
      <c r="E21" s="103">
        <v>42282</v>
      </c>
      <c r="F21" s="235"/>
      <c r="G21" s="235"/>
    </row>
    <row r="22" spans="1:7" x14ac:dyDescent="0.3">
      <c r="A22" s="232">
        <v>15</v>
      </c>
      <c r="B22" s="232" t="s">
        <v>21</v>
      </c>
      <c r="C22" s="103">
        <v>119848</v>
      </c>
      <c r="D22" s="103">
        <v>41519</v>
      </c>
      <c r="E22" s="103">
        <v>78329</v>
      </c>
      <c r="F22" s="235"/>
      <c r="G22" s="235"/>
    </row>
    <row r="23" spans="1:7" x14ac:dyDescent="0.3">
      <c r="A23" s="232">
        <v>16</v>
      </c>
      <c r="B23" s="232" t="s">
        <v>22</v>
      </c>
      <c r="C23" s="103">
        <v>74340</v>
      </c>
      <c r="D23" s="103">
        <v>30176</v>
      </c>
      <c r="E23" s="103">
        <v>44164</v>
      </c>
      <c r="F23" s="235"/>
      <c r="G23" s="235"/>
    </row>
    <row r="24" spans="1:7" x14ac:dyDescent="0.3">
      <c r="A24" s="232">
        <v>17</v>
      </c>
      <c r="B24" s="232" t="s">
        <v>23</v>
      </c>
      <c r="C24" s="103">
        <v>77016</v>
      </c>
      <c r="D24" s="103">
        <v>24997</v>
      </c>
      <c r="E24" s="103">
        <v>52019</v>
      </c>
      <c r="F24" s="235"/>
      <c r="G24" s="235"/>
    </row>
    <row r="25" spans="1:7" x14ac:dyDescent="0.3">
      <c r="A25" s="232">
        <v>18</v>
      </c>
      <c r="B25" s="232" t="s">
        <v>24</v>
      </c>
      <c r="C25" s="103">
        <v>88504</v>
      </c>
      <c r="D25" s="103">
        <v>69274</v>
      </c>
      <c r="E25" s="103">
        <v>19230</v>
      </c>
      <c r="F25" s="235"/>
      <c r="G25" s="235"/>
    </row>
    <row r="26" spans="1:7" x14ac:dyDescent="0.3">
      <c r="A26" s="232">
        <v>19</v>
      </c>
      <c r="B26" s="232" t="s">
        <v>25</v>
      </c>
      <c r="C26" s="103">
        <v>98110</v>
      </c>
      <c r="D26" s="103">
        <v>98110</v>
      </c>
      <c r="E26" s="103">
        <v>0</v>
      </c>
      <c r="F26" s="235"/>
      <c r="G26" s="235"/>
    </row>
    <row r="27" spans="1:7" x14ac:dyDescent="0.3">
      <c r="A27" s="232">
        <v>20</v>
      </c>
      <c r="B27" s="232" t="s">
        <v>26</v>
      </c>
      <c r="C27" s="103">
        <v>70090</v>
      </c>
      <c r="D27" s="103">
        <v>27237</v>
      </c>
      <c r="E27" s="103">
        <v>42853</v>
      </c>
      <c r="F27" s="235"/>
      <c r="G27" s="235"/>
    </row>
    <row r="28" spans="1:7" x14ac:dyDescent="0.3">
      <c r="A28" s="232">
        <v>21</v>
      </c>
      <c r="B28" s="232" t="s">
        <v>27</v>
      </c>
      <c r="C28" s="103">
        <v>73949</v>
      </c>
      <c r="D28" s="103">
        <v>73949</v>
      </c>
      <c r="E28" s="103">
        <v>0</v>
      </c>
      <c r="F28" s="235"/>
      <c r="G28" s="235"/>
    </row>
    <row r="29" spans="1:7" x14ac:dyDescent="0.3">
      <c r="A29" s="232">
        <v>22</v>
      </c>
      <c r="B29" s="232" t="s">
        <v>28</v>
      </c>
      <c r="C29" s="103">
        <v>59945</v>
      </c>
      <c r="D29" s="103">
        <v>21170</v>
      </c>
      <c r="E29" s="103">
        <v>38775</v>
      </c>
      <c r="F29" s="235"/>
      <c r="G29" s="235"/>
    </row>
    <row r="30" spans="1:7" x14ac:dyDescent="0.3">
      <c r="A30" s="232">
        <v>23</v>
      </c>
      <c r="B30" s="232" t="s">
        <v>29</v>
      </c>
      <c r="C30" s="103">
        <v>130142</v>
      </c>
      <c r="D30" s="103">
        <v>88353</v>
      </c>
      <c r="E30" s="103">
        <v>41789</v>
      </c>
      <c r="F30" s="235"/>
      <c r="G30" s="235"/>
    </row>
    <row r="31" spans="1:7" x14ac:dyDescent="0.3">
      <c r="A31" s="232">
        <v>24</v>
      </c>
      <c r="B31" s="232" t="s">
        <v>30</v>
      </c>
      <c r="C31" s="103">
        <v>47960</v>
      </c>
      <c r="D31" s="103">
        <v>47960</v>
      </c>
      <c r="E31" s="103">
        <v>0</v>
      </c>
      <c r="F31" s="235"/>
      <c r="G31" s="235"/>
    </row>
    <row r="32" spans="1:7" x14ac:dyDescent="0.3">
      <c r="A32" s="232">
        <v>25</v>
      </c>
      <c r="B32" s="232" t="s">
        <v>31</v>
      </c>
      <c r="C32" s="103">
        <v>109718</v>
      </c>
      <c r="D32" s="103">
        <v>107510</v>
      </c>
      <c r="E32" s="103">
        <v>2208</v>
      </c>
      <c r="F32" s="235"/>
      <c r="G32" s="235"/>
    </row>
    <row r="33" spans="1:7" x14ac:dyDescent="0.3">
      <c r="A33" s="232">
        <v>26</v>
      </c>
      <c r="B33" s="232" t="s">
        <v>32</v>
      </c>
      <c r="C33" s="103">
        <v>89161</v>
      </c>
      <c r="D33" s="103">
        <v>73016</v>
      </c>
      <c r="E33" s="103">
        <v>16145</v>
      </c>
      <c r="F33" s="235"/>
      <c r="G33" s="235"/>
    </row>
    <row r="34" spans="1:7" x14ac:dyDescent="0.3">
      <c r="A34" s="232">
        <v>27</v>
      </c>
      <c r="B34" s="232" t="s">
        <v>33</v>
      </c>
      <c r="C34" s="103">
        <v>96291</v>
      </c>
      <c r="D34" s="103">
        <v>51562</v>
      </c>
      <c r="E34" s="103">
        <v>44729</v>
      </c>
      <c r="F34" s="235"/>
      <c r="G34" s="235"/>
    </row>
    <row r="35" spans="1:7" x14ac:dyDescent="0.3">
      <c r="A35" s="232">
        <v>28</v>
      </c>
      <c r="B35" s="232" t="s">
        <v>34</v>
      </c>
      <c r="C35" s="103">
        <v>202863</v>
      </c>
      <c r="D35" s="103">
        <v>202863</v>
      </c>
      <c r="E35" s="103">
        <v>0</v>
      </c>
      <c r="F35" s="235"/>
      <c r="G35" s="235"/>
    </row>
    <row r="36" spans="1:7" x14ac:dyDescent="0.3">
      <c r="A36" s="232">
        <v>29</v>
      </c>
      <c r="B36" s="232" t="s">
        <v>35</v>
      </c>
      <c r="C36" s="103">
        <v>112977</v>
      </c>
      <c r="D36" s="103">
        <v>98708</v>
      </c>
      <c r="E36" s="103">
        <v>14269</v>
      </c>
      <c r="F36" s="235"/>
      <c r="G36" s="235"/>
    </row>
    <row r="37" spans="1:7" x14ac:dyDescent="0.3">
      <c r="A37" s="232">
        <v>30</v>
      </c>
      <c r="B37" s="232" t="s">
        <v>36</v>
      </c>
      <c r="C37" s="103">
        <v>144651</v>
      </c>
      <c r="D37" s="103">
        <v>144651</v>
      </c>
      <c r="E37" s="103">
        <v>0</v>
      </c>
      <c r="F37" s="235"/>
      <c r="G37" s="235"/>
    </row>
    <row r="38" spans="1:7" x14ac:dyDescent="0.3">
      <c r="A38" s="232">
        <v>31</v>
      </c>
      <c r="B38" s="232" t="s">
        <v>37</v>
      </c>
      <c r="C38" s="103">
        <v>131063</v>
      </c>
      <c r="D38" s="103">
        <v>53534</v>
      </c>
      <c r="E38" s="103">
        <v>77529</v>
      </c>
      <c r="F38" s="235"/>
      <c r="G38" s="235"/>
    </row>
    <row r="39" spans="1:7" x14ac:dyDescent="0.3">
      <c r="A39" s="232">
        <v>32</v>
      </c>
      <c r="B39" s="232" t="s">
        <v>38</v>
      </c>
      <c r="C39" s="103">
        <v>52536</v>
      </c>
      <c r="D39" s="103">
        <v>19433</v>
      </c>
      <c r="E39" s="103">
        <v>33103</v>
      </c>
      <c r="F39" s="235"/>
      <c r="G39" s="235"/>
    </row>
    <row r="40" spans="1:7" x14ac:dyDescent="0.3">
      <c r="A40" s="232">
        <v>33</v>
      </c>
      <c r="B40" s="232" t="s">
        <v>39</v>
      </c>
      <c r="C40" s="103">
        <v>140087</v>
      </c>
      <c r="D40" s="103">
        <v>53072</v>
      </c>
      <c r="E40" s="103">
        <v>87015</v>
      </c>
      <c r="F40" s="235"/>
      <c r="G40" s="235"/>
    </row>
    <row r="41" spans="1:7" x14ac:dyDescent="0.3">
      <c r="A41" s="232">
        <v>34</v>
      </c>
      <c r="B41" s="232" t="s">
        <v>40</v>
      </c>
      <c r="C41" s="103">
        <v>76141</v>
      </c>
      <c r="D41" s="103">
        <v>76141</v>
      </c>
      <c r="E41" s="103">
        <v>0</v>
      </c>
      <c r="F41" s="235"/>
      <c r="G41" s="235"/>
    </row>
    <row r="42" spans="1:7" x14ac:dyDescent="0.3">
      <c r="A42" s="232">
        <v>35</v>
      </c>
      <c r="B42" s="232" t="s">
        <v>41</v>
      </c>
      <c r="C42" s="103">
        <v>95822</v>
      </c>
      <c r="D42" s="103">
        <v>56303</v>
      </c>
      <c r="E42" s="103">
        <v>39519</v>
      </c>
      <c r="F42" s="235"/>
      <c r="G42" s="235"/>
    </row>
    <row r="43" spans="1:7" x14ac:dyDescent="0.3">
      <c r="A43" s="232">
        <v>36</v>
      </c>
      <c r="B43" s="232" t="s">
        <v>42</v>
      </c>
      <c r="C43" s="103">
        <v>103264</v>
      </c>
      <c r="D43" s="103">
        <v>42928</v>
      </c>
      <c r="E43" s="103">
        <v>60336</v>
      </c>
      <c r="F43" s="235"/>
      <c r="G43" s="235"/>
    </row>
    <row r="44" spans="1:7" x14ac:dyDescent="0.3">
      <c r="A44" s="232">
        <v>37</v>
      </c>
      <c r="B44" s="232" t="s">
        <v>43</v>
      </c>
      <c r="C44" s="103">
        <v>142089</v>
      </c>
      <c r="D44" s="103">
        <v>109529</v>
      </c>
      <c r="E44" s="103">
        <v>32560</v>
      </c>
      <c r="F44" s="235"/>
      <c r="G44" s="235"/>
    </row>
    <row r="45" spans="1:7" x14ac:dyDescent="0.3">
      <c r="A45" s="232">
        <v>38</v>
      </c>
      <c r="B45" s="232" t="s">
        <v>44</v>
      </c>
      <c r="C45" s="103">
        <v>127490</v>
      </c>
      <c r="D45" s="103">
        <v>91797</v>
      </c>
      <c r="E45" s="103">
        <v>35693</v>
      </c>
      <c r="F45" s="235"/>
      <c r="G45" s="235"/>
    </row>
    <row r="46" spans="1:7" x14ac:dyDescent="0.3">
      <c r="A46" s="232">
        <v>39</v>
      </c>
      <c r="B46" s="232" t="s">
        <v>45</v>
      </c>
      <c r="C46" s="103">
        <v>116496</v>
      </c>
      <c r="D46" s="103">
        <v>116496</v>
      </c>
      <c r="E46" s="103">
        <v>0</v>
      </c>
      <c r="F46" s="235"/>
      <c r="G46" s="235"/>
    </row>
    <row r="47" spans="1:7" x14ac:dyDescent="0.3">
      <c r="A47" s="232">
        <v>40</v>
      </c>
      <c r="B47" s="232" t="s">
        <v>46</v>
      </c>
      <c r="C47" s="103">
        <v>104269</v>
      </c>
      <c r="D47" s="103">
        <v>28914</v>
      </c>
      <c r="E47" s="103">
        <v>75355</v>
      </c>
      <c r="F47" s="235"/>
      <c r="G47" s="235"/>
    </row>
    <row r="48" spans="1:7" x14ac:dyDescent="0.3">
      <c r="A48" s="98">
        <v>41</v>
      </c>
      <c r="B48" s="98" t="s">
        <v>355</v>
      </c>
      <c r="C48" s="103">
        <v>48248</v>
      </c>
      <c r="D48" s="103">
        <v>48248</v>
      </c>
      <c r="E48" s="103">
        <v>0</v>
      </c>
      <c r="F48" s="235"/>
      <c r="G48" s="235"/>
    </row>
    <row r="49" spans="1:7" x14ac:dyDescent="0.3">
      <c r="A49" s="98">
        <v>42</v>
      </c>
      <c r="B49" s="98" t="s">
        <v>356</v>
      </c>
      <c r="C49" s="103">
        <v>596</v>
      </c>
      <c r="D49" s="103">
        <v>596</v>
      </c>
      <c r="E49" s="103">
        <v>0</v>
      </c>
      <c r="F49" s="235"/>
      <c r="G49" s="235"/>
    </row>
    <row r="50" spans="1:7" x14ac:dyDescent="0.3">
      <c r="A50" s="234"/>
      <c r="B50" s="234" t="s">
        <v>49</v>
      </c>
      <c r="C50" s="105">
        <v>4878106</v>
      </c>
      <c r="D50" s="154">
        <v>3821181</v>
      </c>
      <c r="E50" s="154">
        <v>1056925</v>
      </c>
      <c r="F50" s="235"/>
      <c r="G50" s="235"/>
    </row>
    <row r="51" spans="1:7" x14ac:dyDescent="0.3">
      <c r="D51" s="236"/>
    </row>
    <row r="53" spans="1:7" x14ac:dyDescent="0.3">
      <c r="C53" s="235"/>
      <c r="D53" s="235"/>
      <c r="E53" s="235"/>
    </row>
  </sheetData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59055118110236227" right="0.39370078740157483" top="0.39370078740157483" bottom="0.39370078740157483" header="0" footer="0"/>
  <pageSetup paperSize="9" scale="74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52"/>
  <sheetViews>
    <sheetView view="pageBreakPreview" zoomScaleNormal="75" zoomScaleSheetLayoutView="100" workbookViewId="0">
      <selection activeCell="L8" sqref="L8"/>
    </sheetView>
  </sheetViews>
  <sheetFormatPr defaultColWidth="9.140625" defaultRowHeight="18.75" x14ac:dyDescent="0.3"/>
  <cols>
    <col min="1" max="1" width="6.7109375" style="124" bestFit="1" customWidth="1"/>
    <col min="2" max="2" width="52.5703125" style="124" customWidth="1"/>
    <col min="3" max="4" width="18.140625" style="124" bestFit="1" customWidth="1"/>
    <col min="5" max="5" width="18.7109375" style="124" customWidth="1"/>
    <col min="6" max="16384" width="9.140625" style="124"/>
  </cols>
  <sheetData>
    <row r="1" spans="1:5" x14ac:dyDescent="0.3">
      <c r="A1" s="470" t="s">
        <v>434</v>
      </c>
      <c r="B1" s="470"/>
      <c r="C1" s="470"/>
      <c r="D1" s="470"/>
      <c r="E1" s="470"/>
    </row>
    <row r="2" spans="1:5" ht="75" customHeight="1" x14ac:dyDescent="0.3">
      <c r="A2" s="471" t="s">
        <v>456</v>
      </c>
      <c r="B2" s="471"/>
      <c r="C2" s="471"/>
      <c r="D2" s="471"/>
      <c r="E2" s="471"/>
    </row>
    <row r="3" spans="1:5" ht="15.75" customHeight="1" x14ac:dyDescent="0.3">
      <c r="A3" s="464" t="s">
        <v>0</v>
      </c>
      <c r="B3" s="464" t="s">
        <v>1</v>
      </c>
      <c r="C3" s="428" t="s">
        <v>2</v>
      </c>
      <c r="D3" s="428"/>
      <c r="E3" s="428"/>
    </row>
    <row r="4" spans="1:5" ht="15.75" customHeight="1" x14ac:dyDescent="0.3">
      <c r="A4" s="464"/>
      <c r="B4" s="464"/>
      <c r="C4" s="465" t="s">
        <v>3</v>
      </c>
      <c r="D4" s="428" t="s">
        <v>4</v>
      </c>
      <c r="E4" s="428"/>
    </row>
    <row r="5" spans="1:5" ht="15.75" customHeight="1" x14ac:dyDescent="0.3">
      <c r="A5" s="464"/>
      <c r="B5" s="464"/>
      <c r="C5" s="466"/>
      <c r="D5" s="120" t="s">
        <v>5</v>
      </c>
      <c r="E5" s="120" t="s">
        <v>6</v>
      </c>
    </row>
    <row r="6" spans="1:5" x14ac:dyDescent="0.3">
      <c r="A6" s="131">
        <v>1</v>
      </c>
      <c r="B6" s="131">
        <v>2</v>
      </c>
      <c r="C6" s="121">
        <v>3</v>
      </c>
      <c r="D6" s="122">
        <v>4</v>
      </c>
      <c r="E6" s="122">
        <v>5</v>
      </c>
    </row>
    <row r="7" spans="1:5" x14ac:dyDescent="0.3">
      <c r="A7" s="137">
        <v>1</v>
      </c>
      <c r="B7" s="138" t="s">
        <v>7</v>
      </c>
      <c r="C7" s="139">
        <v>21851</v>
      </c>
      <c r="D7" s="139">
        <v>22911.599999999999</v>
      </c>
      <c r="E7" s="139">
        <v>22699.200000000001</v>
      </c>
    </row>
    <row r="8" spans="1:5" x14ac:dyDescent="0.3">
      <c r="A8" s="137">
        <v>2</v>
      </c>
      <c r="B8" s="138" t="s">
        <v>8</v>
      </c>
      <c r="C8" s="140">
        <v>25211.200000000001</v>
      </c>
      <c r="D8" s="139">
        <v>26434.9</v>
      </c>
      <c r="E8" s="139">
        <v>26189.8</v>
      </c>
    </row>
    <row r="9" spans="1:5" x14ac:dyDescent="0.3">
      <c r="A9" s="137">
        <v>3</v>
      </c>
      <c r="B9" s="138" t="s">
        <v>9</v>
      </c>
      <c r="C9" s="140">
        <v>214013.5</v>
      </c>
      <c r="D9" s="139">
        <v>224401.4</v>
      </c>
      <c r="E9" s="139">
        <v>222320.7</v>
      </c>
    </row>
    <row r="10" spans="1:5" x14ac:dyDescent="0.3">
      <c r="A10" s="137">
        <v>4</v>
      </c>
      <c r="B10" s="138" t="s">
        <v>10</v>
      </c>
      <c r="C10" s="140">
        <v>20595.900000000001</v>
      </c>
      <c r="D10" s="139">
        <v>21595.599999999999</v>
      </c>
      <c r="E10" s="139">
        <v>21395.4</v>
      </c>
    </row>
    <row r="11" spans="1:5" x14ac:dyDescent="0.3">
      <c r="A11" s="137">
        <v>5</v>
      </c>
      <c r="B11" s="138" t="s">
        <v>11</v>
      </c>
      <c r="C11" s="140">
        <v>28195.8</v>
      </c>
      <c r="D11" s="139">
        <v>29564.400000000001</v>
      </c>
      <c r="E11" s="139">
        <v>29290.3</v>
      </c>
    </row>
    <row r="12" spans="1:5" x14ac:dyDescent="0.3">
      <c r="A12" s="137">
        <v>6</v>
      </c>
      <c r="B12" s="138" t="s">
        <v>12</v>
      </c>
      <c r="C12" s="140">
        <v>8538.7999999999993</v>
      </c>
      <c r="D12" s="139">
        <v>8953.2999999999993</v>
      </c>
      <c r="E12" s="139">
        <v>8870.2000000000007</v>
      </c>
    </row>
    <row r="13" spans="1:5" x14ac:dyDescent="0.3">
      <c r="A13" s="137">
        <v>7</v>
      </c>
      <c r="B13" s="138" t="s">
        <v>13</v>
      </c>
      <c r="C13" s="140">
        <v>10910.7</v>
      </c>
      <c r="D13" s="139">
        <v>11440.3</v>
      </c>
      <c r="E13" s="139">
        <v>11334.2</v>
      </c>
    </row>
    <row r="14" spans="1:5" x14ac:dyDescent="0.3">
      <c r="A14" s="137">
        <v>8</v>
      </c>
      <c r="B14" s="138" t="s">
        <v>14</v>
      </c>
      <c r="C14" s="140">
        <v>8766.1</v>
      </c>
      <c r="D14" s="139">
        <v>9191.6</v>
      </c>
      <c r="E14" s="139">
        <v>9106.4</v>
      </c>
    </row>
    <row r="15" spans="1:5" x14ac:dyDescent="0.3">
      <c r="A15" s="137">
        <v>9</v>
      </c>
      <c r="B15" s="138" t="s">
        <v>15</v>
      </c>
      <c r="C15" s="140">
        <v>15822.5</v>
      </c>
      <c r="D15" s="139">
        <v>16590.5</v>
      </c>
      <c r="E15" s="139">
        <v>16436.599999999999</v>
      </c>
    </row>
    <row r="16" spans="1:5" x14ac:dyDescent="0.3">
      <c r="A16" s="137">
        <v>10</v>
      </c>
      <c r="B16" s="141" t="s">
        <v>16</v>
      </c>
      <c r="C16" s="140">
        <v>4457.2</v>
      </c>
      <c r="D16" s="139">
        <v>4673.5</v>
      </c>
      <c r="E16" s="139">
        <v>4630.2</v>
      </c>
    </row>
    <row r="17" spans="1:17" x14ac:dyDescent="0.3">
      <c r="A17" s="137">
        <v>11</v>
      </c>
      <c r="B17" s="141" t="s">
        <v>17</v>
      </c>
      <c r="C17" s="140">
        <v>3419.5</v>
      </c>
      <c r="D17" s="139">
        <v>3585.4</v>
      </c>
      <c r="E17" s="139">
        <v>3552.2</v>
      </c>
    </row>
    <row r="18" spans="1:17" x14ac:dyDescent="0.3">
      <c r="A18" s="137">
        <v>12</v>
      </c>
      <c r="B18" s="138" t="s">
        <v>18</v>
      </c>
      <c r="C18" s="140">
        <v>6078</v>
      </c>
      <c r="D18" s="139">
        <v>6373</v>
      </c>
      <c r="E18" s="139">
        <v>6313.9</v>
      </c>
    </row>
    <row r="19" spans="1:17" x14ac:dyDescent="0.3">
      <c r="A19" s="137">
        <v>13</v>
      </c>
      <c r="B19" s="138" t="s">
        <v>19</v>
      </c>
      <c r="C19" s="140">
        <v>3725.8</v>
      </c>
      <c r="D19" s="139">
        <v>3906.7</v>
      </c>
      <c r="E19" s="139">
        <v>3870.5</v>
      </c>
      <c r="Q19" s="129"/>
    </row>
    <row r="20" spans="1:17" x14ac:dyDescent="0.3">
      <c r="A20" s="137">
        <v>14</v>
      </c>
      <c r="B20" s="138" t="s">
        <v>20</v>
      </c>
      <c r="C20" s="140">
        <v>1937</v>
      </c>
      <c r="D20" s="139">
        <v>2031</v>
      </c>
      <c r="E20" s="139">
        <v>2012.2</v>
      </c>
    </row>
    <row r="21" spans="1:17" x14ac:dyDescent="0.3">
      <c r="A21" s="137">
        <v>15</v>
      </c>
      <c r="B21" s="138" t="s">
        <v>21</v>
      </c>
      <c r="C21" s="140">
        <v>4180.5</v>
      </c>
      <c r="D21" s="139">
        <v>4383.3999999999996</v>
      </c>
      <c r="E21" s="139">
        <v>4342.7</v>
      </c>
    </row>
    <row r="22" spans="1:17" x14ac:dyDescent="0.3">
      <c r="A22" s="137">
        <v>16</v>
      </c>
      <c r="B22" s="138" t="s">
        <v>22</v>
      </c>
      <c r="C22" s="140">
        <v>2095.1999999999998</v>
      </c>
      <c r="D22" s="139">
        <v>2196.9</v>
      </c>
      <c r="E22" s="139">
        <v>2176.5</v>
      </c>
    </row>
    <row r="23" spans="1:17" x14ac:dyDescent="0.3">
      <c r="A23" s="137">
        <v>17</v>
      </c>
      <c r="B23" s="138" t="s">
        <v>23</v>
      </c>
      <c r="C23" s="140">
        <v>2134.6999999999998</v>
      </c>
      <c r="D23" s="139">
        <v>2238.3000000000002</v>
      </c>
      <c r="E23" s="139">
        <v>2217.6</v>
      </c>
    </row>
    <row r="24" spans="1:17" x14ac:dyDescent="0.3">
      <c r="A24" s="137">
        <v>18</v>
      </c>
      <c r="B24" s="138" t="s">
        <v>24</v>
      </c>
      <c r="C24" s="140">
        <v>4476.8999999999996</v>
      </c>
      <c r="D24" s="139">
        <v>4694.2</v>
      </c>
      <c r="E24" s="139">
        <v>4650.7</v>
      </c>
    </row>
    <row r="25" spans="1:17" x14ac:dyDescent="0.3">
      <c r="A25" s="137">
        <v>19</v>
      </c>
      <c r="B25" s="138" t="s">
        <v>25</v>
      </c>
      <c r="C25" s="140">
        <v>12323.9</v>
      </c>
      <c r="D25" s="139">
        <v>12922.1</v>
      </c>
      <c r="E25" s="139">
        <v>12802.3</v>
      </c>
    </row>
    <row r="26" spans="1:17" x14ac:dyDescent="0.3">
      <c r="A26" s="137">
        <v>20</v>
      </c>
      <c r="B26" s="138" t="s">
        <v>26</v>
      </c>
      <c r="C26" s="140">
        <v>1976.6</v>
      </c>
      <c r="D26" s="139">
        <v>2072.5</v>
      </c>
      <c r="E26" s="139">
        <v>2053.3000000000002</v>
      </c>
    </row>
    <row r="27" spans="1:17" x14ac:dyDescent="0.3">
      <c r="A27" s="137">
        <v>21</v>
      </c>
      <c r="B27" s="138" t="s">
        <v>27</v>
      </c>
      <c r="C27" s="140">
        <v>14517.9</v>
      </c>
      <c r="D27" s="139">
        <v>15222.6</v>
      </c>
      <c r="E27" s="139">
        <v>15081.5</v>
      </c>
    </row>
    <row r="28" spans="1:17" x14ac:dyDescent="0.3">
      <c r="A28" s="137">
        <v>22</v>
      </c>
      <c r="B28" s="138" t="s">
        <v>28</v>
      </c>
      <c r="C28" s="140">
        <v>1492.3</v>
      </c>
      <c r="D28" s="139">
        <v>1564.7</v>
      </c>
      <c r="E28" s="139">
        <v>1550.2</v>
      </c>
    </row>
    <row r="29" spans="1:17" x14ac:dyDescent="0.3">
      <c r="A29" s="137">
        <v>23</v>
      </c>
      <c r="B29" s="138" t="s">
        <v>29</v>
      </c>
      <c r="C29" s="140">
        <v>6483.1</v>
      </c>
      <c r="D29" s="139">
        <v>6797.8</v>
      </c>
      <c r="E29" s="139">
        <v>6734.8</v>
      </c>
    </row>
    <row r="30" spans="1:17" x14ac:dyDescent="0.3">
      <c r="A30" s="137">
        <v>24</v>
      </c>
      <c r="B30" s="138" t="s">
        <v>30</v>
      </c>
      <c r="C30" s="140">
        <v>23956.1</v>
      </c>
      <c r="D30" s="139">
        <v>25118.9</v>
      </c>
      <c r="E30" s="139">
        <v>24886</v>
      </c>
    </row>
    <row r="31" spans="1:17" x14ac:dyDescent="0.3">
      <c r="A31" s="137">
        <v>25</v>
      </c>
      <c r="B31" s="138" t="s">
        <v>31</v>
      </c>
      <c r="C31" s="140">
        <v>8232.4</v>
      </c>
      <c r="D31" s="139">
        <v>8632</v>
      </c>
      <c r="E31" s="139">
        <v>8552</v>
      </c>
    </row>
    <row r="32" spans="1:17" x14ac:dyDescent="0.3">
      <c r="A32" s="137">
        <v>26</v>
      </c>
      <c r="B32" s="138" t="s">
        <v>32</v>
      </c>
      <c r="C32" s="140">
        <v>3034</v>
      </c>
      <c r="D32" s="139">
        <v>3181.3</v>
      </c>
      <c r="E32" s="139">
        <v>3151.8</v>
      </c>
    </row>
    <row r="33" spans="1:5" x14ac:dyDescent="0.3">
      <c r="A33" s="137">
        <v>27</v>
      </c>
      <c r="B33" s="138" t="s">
        <v>33</v>
      </c>
      <c r="C33" s="140">
        <v>2856.2</v>
      </c>
      <c r="D33" s="139">
        <v>2994.8</v>
      </c>
      <c r="E33" s="139">
        <v>2967</v>
      </c>
    </row>
    <row r="34" spans="1:5" x14ac:dyDescent="0.3">
      <c r="A34" s="137">
        <v>28</v>
      </c>
      <c r="B34" s="138" t="s">
        <v>34</v>
      </c>
      <c r="C34" s="140">
        <v>38009.5</v>
      </c>
      <c r="D34" s="139">
        <v>39854.400000000001</v>
      </c>
      <c r="E34" s="139">
        <v>39484.9</v>
      </c>
    </row>
    <row r="35" spans="1:5" x14ac:dyDescent="0.3">
      <c r="A35" s="137">
        <v>29</v>
      </c>
      <c r="B35" s="138" t="s">
        <v>35</v>
      </c>
      <c r="C35" s="140">
        <v>5544.3</v>
      </c>
      <c r="D35" s="139">
        <v>5813.4</v>
      </c>
      <c r="E35" s="139">
        <v>5759.5</v>
      </c>
    </row>
    <row r="36" spans="1:5" x14ac:dyDescent="0.3">
      <c r="A36" s="137">
        <v>30</v>
      </c>
      <c r="B36" s="138" t="s">
        <v>36</v>
      </c>
      <c r="C36" s="140">
        <v>11612.4</v>
      </c>
      <c r="D36" s="139">
        <v>12176</v>
      </c>
      <c r="E36" s="139">
        <v>12063.1</v>
      </c>
    </row>
    <row r="37" spans="1:5" x14ac:dyDescent="0.3">
      <c r="A37" s="137">
        <v>31</v>
      </c>
      <c r="B37" s="138" t="s">
        <v>37</v>
      </c>
      <c r="C37" s="140">
        <v>6285.5</v>
      </c>
      <c r="D37" s="139">
        <v>6590.6</v>
      </c>
      <c r="E37" s="139">
        <v>6529.5</v>
      </c>
    </row>
    <row r="38" spans="1:5" x14ac:dyDescent="0.3">
      <c r="A38" s="137">
        <v>32</v>
      </c>
      <c r="B38" s="138" t="s">
        <v>38</v>
      </c>
      <c r="C38" s="140">
        <v>1185.9000000000001</v>
      </c>
      <c r="D38" s="139">
        <v>1243.5</v>
      </c>
      <c r="E38" s="139">
        <v>1232</v>
      </c>
    </row>
    <row r="39" spans="1:5" x14ac:dyDescent="0.3">
      <c r="A39" s="137">
        <v>33</v>
      </c>
      <c r="B39" s="138" t="s">
        <v>39</v>
      </c>
      <c r="C39" s="140">
        <v>4704.2</v>
      </c>
      <c r="D39" s="139">
        <v>4932.5</v>
      </c>
      <c r="E39" s="139">
        <v>4886.8</v>
      </c>
    </row>
    <row r="40" spans="1:5" x14ac:dyDescent="0.3">
      <c r="A40" s="137">
        <v>34</v>
      </c>
      <c r="B40" s="138" t="s">
        <v>40</v>
      </c>
      <c r="C40" s="140">
        <v>3310.8</v>
      </c>
      <c r="D40" s="139">
        <v>3471.5</v>
      </c>
      <c r="E40" s="139">
        <v>3439.3</v>
      </c>
    </row>
    <row r="41" spans="1:5" x14ac:dyDescent="0.3">
      <c r="A41" s="137">
        <v>35</v>
      </c>
      <c r="B41" s="138" t="s">
        <v>41</v>
      </c>
      <c r="C41" s="140">
        <v>3004.4</v>
      </c>
      <c r="D41" s="139">
        <v>3150.2</v>
      </c>
      <c r="E41" s="139">
        <v>3121</v>
      </c>
    </row>
    <row r="42" spans="1:5" x14ac:dyDescent="0.3">
      <c r="A42" s="137">
        <v>36</v>
      </c>
      <c r="B42" s="138" t="s">
        <v>42</v>
      </c>
      <c r="C42" s="140">
        <v>4635.1000000000004</v>
      </c>
      <c r="D42" s="139">
        <v>4860</v>
      </c>
      <c r="E42" s="139">
        <v>4815</v>
      </c>
    </row>
    <row r="43" spans="1:5" x14ac:dyDescent="0.3">
      <c r="A43" s="137">
        <v>37</v>
      </c>
      <c r="B43" s="138" t="s">
        <v>43</v>
      </c>
      <c r="C43" s="140">
        <v>8272</v>
      </c>
      <c r="D43" s="139">
        <v>8673.5</v>
      </c>
      <c r="E43" s="139">
        <v>8593.1</v>
      </c>
    </row>
    <row r="44" spans="1:5" x14ac:dyDescent="0.3">
      <c r="A44" s="137">
        <v>38</v>
      </c>
      <c r="B44" s="138" t="s">
        <v>44</v>
      </c>
      <c r="C44" s="140">
        <v>5020.5</v>
      </c>
      <c r="D44" s="139">
        <v>5264.2</v>
      </c>
      <c r="E44" s="139">
        <v>5215.3999999999996</v>
      </c>
    </row>
    <row r="45" spans="1:5" x14ac:dyDescent="0.3">
      <c r="A45" s="137">
        <v>39</v>
      </c>
      <c r="B45" s="138" t="s">
        <v>45</v>
      </c>
      <c r="C45" s="140">
        <v>8983.5</v>
      </c>
      <c r="D45" s="139">
        <v>9419.6</v>
      </c>
      <c r="E45" s="139">
        <v>9332.2000000000007</v>
      </c>
    </row>
    <row r="46" spans="1:5" x14ac:dyDescent="0.3">
      <c r="A46" s="137">
        <v>40</v>
      </c>
      <c r="B46" s="138" t="s">
        <v>46</v>
      </c>
      <c r="C46" s="140">
        <v>2777.1</v>
      </c>
      <c r="D46" s="139">
        <v>2911.9</v>
      </c>
      <c r="E46" s="139">
        <v>2884.9</v>
      </c>
    </row>
    <row r="47" spans="1:5" x14ac:dyDescent="0.3">
      <c r="A47" s="137">
        <v>41</v>
      </c>
      <c r="B47" s="142" t="s">
        <v>355</v>
      </c>
      <c r="C47" s="140">
        <v>6423.8</v>
      </c>
      <c r="D47" s="139">
        <v>6735.7</v>
      </c>
      <c r="E47" s="139">
        <v>6673.2</v>
      </c>
    </row>
    <row r="48" spans="1:5" x14ac:dyDescent="0.3">
      <c r="A48" s="137">
        <v>42</v>
      </c>
      <c r="B48" s="142" t="s">
        <v>356</v>
      </c>
      <c r="C48" s="140">
        <v>760.9</v>
      </c>
      <c r="D48" s="139">
        <v>797.9</v>
      </c>
      <c r="E48" s="139">
        <v>790.5</v>
      </c>
    </row>
    <row r="49" spans="1:5" x14ac:dyDescent="0.3">
      <c r="A49" s="143"/>
      <c r="B49" s="144" t="s">
        <v>49</v>
      </c>
      <c r="C49" s="145">
        <v>571812.70000000019</v>
      </c>
      <c r="D49" s="145">
        <v>599567.59999999986</v>
      </c>
      <c r="E49" s="145">
        <v>594008.60000000009</v>
      </c>
    </row>
    <row r="50" spans="1:5" ht="64.5" customHeight="1" x14ac:dyDescent="0.3">
      <c r="A50" s="467"/>
      <c r="B50" s="467"/>
      <c r="D50" s="468"/>
      <c r="E50" s="468"/>
    </row>
    <row r="51" spans="1:5" hidden="1" x14ac:dyDescent="0.3"/>
    <row r="52" spans="1:5" x14ac:dyDescent="0.3">
      <c r="A52" s="469"/>
      <c r="B52" s="469"/>
      <c r="C52" s="125"/>
    </row>
  </sheetData>
  <mergeCells count="10">
    <mergeCell ref="A50:B50"/>
    <mergeCell ref="D50:E50"/>
    <mergeCell ref="A52:B52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1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52"/>
  <sheetViews>
    <sheetView view="pageBreakPreview" zoomScaleNormal="75" zoomScaleSheetLayoutView="100" workbookViewId="0">
      <selection activeCell="B8" sqref="B8"/>
    </sheetView>
  </sheetViews>
  <sheetFormatPr defaultColWidth="9.140625" defaultRowHeight="18.75" x14ac:dyDescent="0.3"/>
  <cols>
    <col min="1" max="1" width="7.140625" style="260" bestFit="1" customWidth="1"/>
    <col min="2" max="2" width="54.7109375" style="260" customWidth="1"/>
    <col min="3" max="3" width="15.7109375" style="260" customWidth="1"/>
    <col min="4" max="4" width="15.42578125" style="260" customWidth="1"/>
    <col min="5" max="5" width="17.140625" style="260" customWidth="1"/>
    <col min="6" max="6" width="117.7109375" style="260" customWidth="1"/>
    <col min="7" max="16384" width="9.140625" style="260"/>
  </cols>
  <sheetData>
    <row r="1" spans="1:10" x14ac:dyDescent="0.3">
      <c r="B1" s="480" t="s">
        <v>352</v>
      </c>
      <c r="C1" s="481"/>
      <c r="D1" s="481"/>
      <c r="E1" s="481"/>
    </row>
    <row r="2" spans="1:10" ht="62.25" customHeight="1" x14ac:dyDescent="0.3">
      <c r="A2" s="471" t="s">
        <v>457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1:10" x14ac:dyDescent="0.3">
      <c r="A3" s="428" t="s">
        <v>365</v>
      </c>
      <c r="B3" s="472" t="s">
        <v>52</v>
      </c>
      <c r="C3" s="428" t="s">
        <v>2</v>
      </c>
      <c r="D3" s="428"/>
      <c r="E3" s="428"/>
    </row>
    <row r="4" spans="1:10" x14ac:dyDescent="0.3">
      <c r="A4" s="428"/>
      <c r="B4" s="473"/>
      <c r="C4" s="475">
        <v>2021</v>
      </c>
      <c r="D4" s="428" t="s">
        <v>4</v>
      </c>
      <c r="E4" s="428"/>
    </row>
    <row r="5" spans="1:10" x14ac:dyDescent="0.3">
      <c r="A5" s="428"/>
      <c r="B5" s="474"/>
      <c r="C5" s="475"/>
      <c r="D5" s="261" t="s">
        <v>5</v>
      </c>
      <c r="E5" s="261" t="s">
        <v>6</v>
      </c>
    </row>
    <row r="6" spans="1:10" x14ac:dyDescent="0.3">
      <c r="A6" s="262">
        <v>1</v>
      </c>
      <c r="B6" s="121">
        <v>2</v>
      </c>
      <c r="C6" s="121">
        <v>3</v>
      </c>
      <c r="D6" s="263">
        <v>4</v>
      </c>
      <c r="E6" s="263">
        <v>5</v>
      </c>
    </row>
    <row r="7" spans="1:10" x14ac:dyDescent="0.3">
      <c r="A7" s="228">
        <v>1</v>
      </c>
      <c r="B7" s="264" t="s">
        <v>409</v>
      </c>
      <c r="C7" s="405">
        <v>12844.599999999999</v>
      </c>
      <c r="D7" s="406">
        <f>C7</f>
        <v>12844.599999999999</v>
      </c>
      <c r="E7" s="406">
        <f>C7</f>
        <v>12844.599999999999</v>
      </c>
    </row>
    <row r="8" spans="1:10" x14ac:dyDescent="0.3">
      <c r="A8" s="228">
        <v>2</v>
      </c>
      <c r="B8" s="264" t="s">
        <v>410</v>
      </c>
      <c r="C8" s="405">
        <v>16775.699999999997</v>
      </c>
      <c r="D8" s="406">
        <f>C8</f>
        <v>16775.699999999997</v>
      </c>
      <c r="E8" s="406">
        <f>C8</f>
        <v>16775.699999999997</v>
      </c>
    </row>
    <row r="9" spans="1:10" x14ac:dyDescent="0.3">
      <c r="A9" s="228">
        <v>3</v>
      </c>
      <c r="B9" s="264" t="s">
        <v>411</v>
      </c>
      <c r="C9" s="405">
        <v>25592.200000000012</v>
      </c>
      <c r="D9" s="406">
        <f>C9</f>
        <v>25592.200000000012</v>
      </c>
      <c r="E9" s="406">
        <f>C9</f>
        <v>25592.200000000012</v>
      </c>
    </row>
    <row r="10" spans="1:10" x14ac:dyDescent="0.3">
      <c r="A10" s="228">
        <v>4</v>
      </c>
      <c r="B10" s="264" t="s">
        <v>412</v>
      </c>
      <c r="C10" s="405">
        <v>6513.7000000000007</v>
      </c>
      <c r="D10" s="406">
        <f t="shared" ref="D10:D48" si="0">C10</f>
        <v>6513.7000000000007</v>
      </c>
      <c r="E10" s="406">
        <f t="shared" ref="E10:E48" si="1">C10</f>
        <v>6513.7000000000007</v>
      </c>
    </row>
    <row r="11" spans="1:10" x14ac:dyDescent="0.3">
      <c r="A11" s="228">
        <v>5</v>
      </c>
      <c r="B11" s="326" t="s">
        <v>11</v>
      </c>
      <c r="C11" s="405">
        <v>17853.7</v>
      </c>
      <c r="D11" s="406">
        <f>C11</f>
        <v>17853.7</v>
      </c>
      <c r="E11" s="406">
        <f>C11</f>
        <v>17853.7</v>
      </c>
    </row>
    <row r="12" spans="1:10" x14ac:dyDescent="0.3">
      <c r="A12" s="228">
        <v>6</v>
      </c>
      <c r="B12" s="326" t="s">
        <v>12</v>
      </c>
      <c r="C12" s="405">
        <v>2616</v>
      </c>
      <c r="D12" s="406">
        <f>C12</f>
        <v>2616</v>
      </c>
      <c r="E12" s="406">
        <f>C12</f>
        <v>2616</v>
      </c>
    </row>
    <row r="13" spans="1:10" x14ac:dyDescent="0.3">
      <c r="A13" s="228">
        <v>7</v>
      </c>
      <c r="B13" s="326" t="s">
        <v>13</v>
      </c>
      <c r="C13" s="405">
        <v>4677.7000000000007</v>
      </c>
      <c r="D13" s="406">
        <f>C13</f>
        <v>4677.7000000000007</v>
      </c>
      <c r="E13" s="406">
        <f>C13</f>
        <v>4677.7000000000007</v>
      </c>
    </row>
    <row r="14" spans="1:10" x14ac:dyDescent="0.3">
      <c r="A14" s="228">
        <v>8</v>
      </c>
      <c r="B14" s="404" t="s">
        <v>14</v>
      </c>
      <c r="C14" s="405">
        <v>5576.5</v>
      </c>
      <c r="D14" s="406">
        <f>C14</f>
        <v>5576.5</v>
      </c>
      <c r="E14" s="406">
        <f>C14</f>
        <v>5576.5</v>
      </c>
    </row>
    <row r="15" spans="1:10" x14ac:dyDescent="0.3">
      <c r="A15" s="228">
        <v>9</v>
      </c>
      <c r="B15" s="404" t="s">
        <v>15</v>
      </c>
      <c r="C15" s="405">
        <v>6936</v>
      </c>
      <c r="D15" s="406">
        <f>C15</f>
        <v>6936</v>
      </c>
      <c r="E15" s="406">
        <f>C15</f>
        <v>6936</v>
      </c>
    </row>
    <row r="16" spans="1:10" x14ac:dyDescent="0.3">
      <c r="A16" s="228">
        <v>10</v>
      </c>
      <c r="B16" s="326" t="s">
        <v>16</v>
      </c>
      <c r="C16" s="405">
        <v>2970.1</v>
      </c>
      <c r="D16" s="406">
        <f t="shared" si="0"/>
        <v>2970.1</v>
      </c>
      <c r="E16" s="406">
        <f t="shared" si="1"/>
        <v>2970.1</v>
      </c>
    </row>
    <row r="17" spans="1:17" x14ac:dyDescent="0.3">
      <c r="A17" s="228">
        <v>11</v>
      </c>
      <c r="B17" s="326" t="s">
        <v>17</v>
      </c>
      <c r="C17" s="405">
        <v>2079.4000000000005</v>
      </c>
      <c r="D17" s="406">
        <f t="shared" si="0"/>
        <v>2079.4000000000005</v>
      </c>
      <c r="E17" s="406">
        <f t="shared" si="1"/>
        <v>2079.4000000000005</v>
      </c>
    </row>
    <row r="18" spans="1:17" x14ac:dyDescent="0.3">
      <c r="A18" s="228">
        <v>12</v>
      </c>
      <c r="B18" s="265" t="s">
        <v>72</v>
      </c>
      <c r="C18" s="405">
        <v>2772.5999999999995</v>
      </c>
      <c r="D18" s="406">
        <f t="shared" si="0"/>
        <v>2772.5999999999995</v>
      </c>
      <c r="E18" s="406">
        <f t="shared" si="1"/>
        <v>2772.5999999999995</v>
      </c>
    </row>
    <row r="19" spans="1:17" x14ac:dyDescent="0.3">
      <c r="A19" s="228">
        <v>13</v>
      </c>
      <c r="B19" s="265" t="s">
        <v>413</v>
      </c>
      <c r="C19" s="405">
        <v>4175.5</v>
      </c>
      <c r="D19" s="406">
        <f t="shared" si="0"/>
        <v>4175.5</v>
      </c>
      <c r="E19" s="406">
        <f t="shared" si="1"/>
        <v>4175.5</v>
      </c>
      <c r="Q19" s="223"/>
    </row>
    <row r="20" spans="1:17" x14ac:dyDescent="0.3">
      <c r="A20" s="228">
        <v>14</v>
      </c>
      <c r="B20" s="265" t="s">
        <v>20</v>
      </c>
      <c r="C20" s="405">
        <v>749.90000000000009</v>
      </c>
      <c r="D20" s="406">
        <f t="shared" si="0"/>
        <v>749.90000000000009</v>
      </c>
      <c r="E20" s="406">
        <f t="shared" si="1"/>
        <v>749.90000000000009</v>
      </c>
    </row>
    <row r="21" spans="1:17" x14ac:dyDescent="0.3">
      <c r="A21" s="228">
        <v>15</v>
      </c>
      <c r="B21" s="265" t="s">
        <v>21</v>
      </c>
      <c r="C21" s="405">
        <v>1397.5</v>
      </c>
      <c r="D21" s="406">
        <f t="shared" si="0"/>
        <v>1397.5</v>
      </c>
      <c r="E21" s="406">
        <f t="shared" si="1"/>
        <v>1397.5</v>
      </c>
    </row>
    <row r="22" spans="1:17" x14ac:dyDescent="0.3">
      <c r="A22" s="228">
        <v>16</v>
      </c>
      <c r="B22" s="265" t="s">
        <v>22</v>
      </c>
      <c r="C22" s="405">
        <v>616.39999999999986</v>
      </c>
      <c r="D22" s="406">
        <f t="shared" si="0"/>
        <v>616.39999999999986</v>
      </c>
      <c r="E22" s="406">
        <f t="shared" si="1"/>
        <v>616.39999999999986</v>
      </c>
    </row>
    <row r="23" spans="1:17" x14ac:dyDescent="0.3">
      <c r="A23" s="228">
        <v>17</v>
      </c>
      <c r="B23" s="265" t="s">
        <v>23</v>
      </c>
      <c r="C23" s="405">
        <v>1003</v>
      </c>
      <c r="D23" s="406">
        <f t="shared" si="0"/>
        <v>1003</v>
      </c>
      <c r="E23" s="406">
        <f t="shared" si="1"/>
        <v>1003</v>
      </c>
    </row>
    <row r="24" spans="1:17" x14ac:dyDescent="0.3">
      <c r="A24" s="228">
        <v>18</v>
      </c>
      <c r="B24" s="265" t="s">
        <v>24</v>
      </c>
      <c r="C24" s="405">
        <v>2282.7000000000003</v>
      </c>
      <c r="D24" s="406">
        <f t="shared" si="0"/>
        <v>2282.7000000000003</v>
      </c>
      <c r="E24" s="406">
        <f t="shared" si="1"/>
        <v>2282.7000000000003</v>
      </c>
    </row>
    <row r="25" spans="1:17" x14ac:dyDescent="0.3">
      <c r="A25" s="228">
        <v>19</v>
      </c>
      <c r="B25" s="265" t="s">
        <v>25</v>
      </c>
      <c r="C25" s="405">
        <v>5764.9000000000005</v>
      </c>
      <c r="D25" s="406">
        <f t="shared" si="0"/>
        <v>5764.9000000000005</v>
      </c>
      <c r="E25" s="406">
        <f t="shared" si="1"/>
        <v>5764.9000000000005</v>
      </c>
    </row>
    <row r="26" spans="1:17" x14ac:dyDescent="0.3">
      <c r="A26" s="228">
        <v>20</v>
      </c>
      <c r="B26" s="265" t="s">
        <v>414</v>
      </c>
      <c r="C26" s="405">
        <v>855.19999999999982</v>
      </c>
      <c r="D26" s="406">
        <f t="shared" si="0"/>
        <v>855.19999999999982</v>
      </c>
      <c r="E26" s="406">
        <f t="shared" si="1"/>
        <v>855.19999999999982</v>
      </c>
    </row>
    <row r="27" spans="1:17" x14ac:dyDescent="0.3">
      <c r="A27" s="228">
        <v>21</v>
      </c>
      <c r="B27" s="265" t="s">
        <v>315</v>
      </c>
      <c r="C27" s="405">
        <v>6761</v>
      </c>
      <c r="D27" s="406">
        <f t="shared" si="0"/>
        <v>6761</v>
      </c>
      <c r="E27" s="406">
        <f t="shared" si="1"/>
        <v>6761</v>
      </c>
    </row>
    <row r="28" spans="1:17" x14ac:dyDescent="0.3">
      <c r="A28" s="228">
        <v>22</v>
      </c>
      <c r="B28" s="265" t="s">
        <v>415</v>
      </c>
      <c r="C28" s="405">
        <v>1694</v>
      </c>
      <c r="D28" s="406">
        <f t="shared" si="0"/>
        <v>1694</v>
      </c>
      <c r="E28" s="406">
        <f t="shared" si="1"/>
        <v>1694</v>
      </c>
    </row>
    <row r="29" spans="1:17" x14ac:dyDescent="0.3">
      <c r="A29" s="228">
        <v>23</v>
      </c>
      <c r="B29" s="265" t="s">
        <v>416</v>
      </c>
      <c r="C29" s="405">
        <v>4521.9000000000005</v>
      </c>
      <c r="D29" s="406">
        <f t="shared" si="0"/>
        <v>4521.9000000000005</v>
      </c>
      <c r="E29" s="406">
        <f t="shared" si="1"/>
        <v>4521.9000000000005</v>
      </c>
    </row>
    <row r="30" spans="1:17" x14ac:dyDescent="0.3">
      <c r="A30" s="228">
        <v>24</v>
      </c>
      <c r="B30" s="265" t="s">
        <v>417</v>
      </c>
      <c r="C30" s="405">
        <v>4700.2999999999993</v>
      </c>
      <c r="D30" s="406">
        <f t="shared" si="0"/>
        <v>4700.2999999999993</v>
      </c>
      <c r="E30" s="406">
        <f t="shared" si="1"/>
        <v>4700.2999999999993</v>
      </c>
    </row>
    <row r="31" spans="1:17" x14ac:dyDescent="0.3">
      <c r="A31" s="228">
        <v>25</v>
      </c>
      <c r="B31" s="265" t="s">
        <v>418</v>
      </c>
      <c r="C31" s="405">
        <v>6309</v>
      </c>
      <c r="D31" s="406">
        <f t="shared" si="0"/>
        <v>6309</v>
      </c>
      <c r="E31" s="406">
        <f t="shared" si="1"/>
        <v>6309</v>
      </c>
    </row>
    <row r="32" spans="1:17" x14ac:dyDescent="0.3">
      <c r="A32" s="228">
        <v>26</v>
      </c>
      <c r="B32" s="265" t="s">
        <v>419</v>
      </c>
      <c r="C32" s="405">
        <v>263.70000000000005</v>
      </c>
      <c r="D32" s="406">
        <f t="shared" si="0"/>
        <v>263.70000000000005</v>
      </c>
      <c r="E32" s="406">
        <f t="shared" si="1"/>
        <v>263.70000000000005</v>
      </c>
    </row>
    <row r="33" spans="1:5" x14ac:dyDescent="0.3">
      <c r="A33" s="228">
        <v>27</v>
      </c>
      <c r="B33" s="265" t="s">
        <v>420</v>
      </c>
      <c r="C33" s="405">
        <v>1338.6</v>
      </c>
      <c r="D33" s="406">
        <f t="shared" si="0"/>
        <v>1338.6</v>
      </c>
      <c r="E33" s="406">
        <f t="shared" si="1"/>
        <v>1338.6</v>
      </c>
    </row>
    <row r="34" spans="1:5" x14ac:dyDescent="0.3">
      <c r="A34" s="228">
        <v>28</v>
      </c>
      <c r="B34" s="265" t="s">
        <v>421</v>
      </c>
      <c r="C34" s="405">
        <v>20085.900000000001</v>
      </c>
      <c r="D34" s="406">
        <f t="shared" si="0"/>
        <v>20085.900000000001</v>
      </c>
      <c r="E34" s="406">
        <f t="shared" si="1"/>
        <v>20085.900000000001</v>
      </c>
    </row>
    <row r="35" spans="1:5" x14ac:dyDescent="0.3">
      <c r="A35" s="228">
        <v>29</v>
      </c>
      <c r="B35" s="265" t="s">
        <v>422</v>
      </c>
      <c r="C35" s="405">
        <v>690.90000000000009</v>
      </c>
      <c r="D35" s="406">
        <f t="shared" si="0"/>
        <v>690.90000000000009</v>
      </c>
      <c r="E35" s="406">
        <f t="shared" si="1"/>
        <v>690.90000000000009</v>
      </c>
    </row>
    <row r="36" spans="1:5" x14ac:dyDescent="0.3">
      <c r="A36" s="228">
        <v>30</v>
      </c>
      <c r="B36" s="265" t="s">
        <v>423</v>
      </c>
      <c r="C36" s="405">
        <v>4485.2999999999993</v>
      </c>
      <c r="D36" s="406">
        <f t="shared" si="0"/>
        <v>4485.2999999999993</v>
      </c>
      <c r="E36" s="406">
        <f t="shared" si="1"/>
        <v>4485.2999999999993</v>
      </c>
    </row>
    <row r="37" spans="1:5" x14ac:dyDescent="0.3">
      <c r="A37" s="228">
        <v>31</v>
      </c>
      <c r="B37" s="265" t="s">
        <v>424</v>
      </c>
      <c r="C37" s="405">
        <v>3059.5</v>
      </c>
      <c r="D37" s="406">
        <f t="shared" si="0"/>
        <v>3059.5</v>
      </c>
      <c r="E37" s="406">
        <f t="shared" si="1"/>
        <v>3059.5</v>
      </c>
    </row>
    <row r="38" spans="1:5" x14ac:dyDescent="0.3">
      <c r="A38" s="228">
        <v>32</v>
      </c>
      <c r="B38" s="265" t="s">
        <v>425</v>
      </c>
      <c r="C38" s="405">
        <v>138.40000000000009</v>
      </c>
      <c r="D38" s="406">
        <f t="shared" si="0"/>
        <v>138.40000000000009</v>
      </c>
      <c r="E38" s="406">
        <f t="shared" si="1"/>
        <v>138.40000000000009</v>
      </c>
    </row>
    <row r="39" spans="1:5" x14ac:dyDescent="0.3">
      <c r="A39" s="228">
        <v>33</v>
      </c>
      <c r="B39" s="265" t="s">
        <v>426</v>
      </c>
      <c r="C39" s="405">
        <v>3068.2000000000003</v>
      </c>
      <c r="D39" s="406">
        <f t="shared" si="0"/>
        <v>3068.2000000000003</v>
      </c>
      <c r="E39" s="406">
        <f t="shared" si="1"/>
        <v>3068.2000000000003</v>
      </c>
    </row>
    <row r="40" spans="1:5" x14ac:dyDescent="0.3">
      <c r="A40" s="228">
        <v>34</v>
      </c>
      <c r="B40" s="265" t="s">
        <v>427</v>
      </c>
      <c r="C40" s="405">
        <v>719.69999999999982</v>
      </c>
      <c r="D40" s="406">
        <f t="shared" si="0"/>
        <v>719.69999999999982</v>
      </c>
      <c r="E40" s="406">
        <f t="shared" si="1"/>
        <v>719.69999999999982</v>
      </c>
    </row>
    <row r="41" spans="1:5" x14ac:dyDescent="0.3">
      <c r="A41" s="228">
        <v>35</v>
      </c>
      <c r="B41" s="265" t="s">
        <v>428</v>
      </c>
      <c r="C41" s="405">
        <v>754.3</v>
      </c>
      <c r="D41" s="406">
        <f t="shared" si="0"/>
        <v>754.3</v>
      </c>
      <c r="E41" s="406">
        <f t="shared" si="1"/>
        <v>754.3</v>
      </c>
    </row>
    <row r="42" spans="1:5" x14ac:dyDescent="0.3">
      <c r="A42" s="228">
        <v>36</v>
      </c>
      <c r="B42" s="265" t="s">
        <v>429</v>
      </c>
      <c r="C42" s="405">
        <v>2201.1999999999998</v>
      </c>
      <c r="D42" s="406">
        <f t="shared" si="0"/>
        <v>2201.1999999999998</v>
      </c>
      <c r="E42" s="406">
        <f t="shared" si="1"/>
        <v>2201.1999999999998</v>
      </c>
    </row>
    <row r="43" spans="1:5" x14ac:dyDescent="0.3">
      <c r="A43" s="228">
        <v>37</v>
      </c>
      <c r="B43" s="265" t="s">
        <v>430</v>
      </c>
      <c r="C43" s="405">
        <v>4299.8999999999996</v>
      </c>
      <c r="D43" s="406">
        <f t="shared" si="0"/>
        <v>4299.8999999999996</v>
      </c>
      <c r="E43" s="406">
        <f t="shared" si="1"/>
        <v>4299.8999999999996</v>
      </c>
    </row>
    <row r="44" spans="1:5" x14ac:dyDescent="0.3">
      <c r="A44" s="228">
        <v>38</v>
      </c>
      <c r="B44" s="265" t="s">
        <v>431</v>
      </c>
      <c r="C44" s="405">
        <v>2686.7</v>
      </c>
      <c r="D44" s="406">
        <f t="shared" si="0"/>
        <v>2686.7</v>
      </c>
      <c r="E44" s="406">
        <f t="shared" si="1"/>
        <v>2686.7</v>
      </c>
    </row>
    <row r="45" spans="1:5" x14ac:dyDescent="0.3">
      <c r="A45" s="228">
        <v>39</v>
      </c>
      <c r="B45" s="265" t="s">
        <v>432</v>
      </c>
      <c r="C45" s="405">
        <v>4542</v>
      </c>
      <c r="D45" s="406">
        <f t="shared" si="0"/>
        <v>4542</v>
      </c>
      <c r="E45" s="406">
        <f t="shared" si="1"/>
        <v>4542</v>
      </c>
    </row>
    <row r="46" spans="1:5" x14ac:dyDescent="0.3">
      <c r="A46" s="228">
        <v>40</v>
      </c>
      <c r="B46" s="265" t="s">
        <v>433</v>
      </c>
      <c r="C46" s="405">
        <v>1229.7000000000003</v>
      </c>
      <c r="D46" s="406">
        <f t="shared" si="0"/>
        <v>1229.7000000000003</v>
      </c>
      <c r="E46" s="406">
        <f t="shared" si="1"/>
        <v>1229.7000000000003</v>
      </c>
    </row>
    <row r="47" spans="1:5" x14ac:dyDescent="0.3">
      <c r="A47" s="228">
        <v>41</v>
      </c>
      <c r="B47" s="265" t="s">
        <v>47</v>
      </c>
      <c r="C47" s="405">
        <v>747.30000000000109</v>
      </c>
      <c r="D47" s="406">
        <f t="shared" si="0"/>
        <v>747.30000000000109</v>
      </c>
      <c r="E47" s="406">
        <f t="shared" si="1"/>
        <v>747.30000000000109</v>
      </c>
    </row>
    <row r="48" spans="1:5" x14ac:dyDescent="0.3">
      <c r="A48" s="228">
        <v>42</v>
      </c>
      <c r="B48" s="265" t="s">
        <v>48</v>
      </c>
      <c r="C48" s="405">
        <v>1314.5000000000005</v>
      </c>
      <c r="D48" s="406">
        <f t="shared" si="0"/>
        <v>1314.5000000000005</v>
      </c>
      <c r="E48" s="406">
        <f t="shared" si="1"/>
        <v>1314.5000000000005</v>
      </c>
    </row>
    <row r="49" spans="1:10" x14ac:dyDescent="0.3">
      <c r="A49" s="476" t="s">
        <v>49</v>
      </c>
      <c r="B49" s="477"/>
      <c r="C49" s="407">
        <f>SUM(C7:C48)</f>
        <v>199665.3</v>
      </c>
      <c r="D49" s="407">
        <f t="shared" ref="D49:E49" si="2">SUM(D7:D48)</f>
        <v>199665.3</v>
      </c>
      <c r="E49" s="407">
        <f t="shared" si="2"/>
        <v>199665.3</v>
      </c>
    </row>
    <row r="50" spans="1:10" ht="64.5" customHeight="1" x14ac:dyDescent="0.3">
      <c r="A50" s="478"/>
      <c r="B50" s="478"/>
      <c r="D50" s="266"/>
      <c r="E50" s="267"/>
      <c r="F50" s="268"/>
      <c r="H50" s="268"/>
      <c r="I50" s="268"/>
      <c r="J50" s="268"/>
    </row>
    <row r="51" spans="1:10" hidden="1" x14ac:dyDescent="0.3"/>
    <row r="52" spans="1:10" x14ac:dyDescent="0.3">
      <c r="A52" s="479"/>
      <c r="B52" s="479"/>
      <c r="C52" s="269"/>
    </row>
  </sheetData>
  <mergeCells count="11">
    <mergeCell ref="A49:B49"/>
    <mergeCell ref="A50:B50"/>
    <mergeCell ref="A52:B52"/>
    <mergeCell ref="B1:E1"/>
    <mergeCell ref="A2:E2"/>
    <mergeCell ref="F2:J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4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2"/>
  <sheetViews>
    <sheetView view="pageBreakPreview" zoomScaleNormal="75" zoomScaleSheetLayoutView="100" workbookViewId="0">
      <selection activeCell="B9" sqref="B9"/>
    </sheetView>
  </sheetViews>
  <sheetFormatPr defaultColWidth="9.140625" defaultRowHeight="18.75" x14ac:dyDescent="0.3"/>
  <cols>
    <col min="1" max="1" width="6.7109375" style="271" bestFit="1" customWidth="1"/>
    <col min="2" max="2" width="52" style="271" customWidth="1"/>
    <col min="3" max="3" width="18.140625" style="271" customWidth="1"/>
    <col min="4" max="4" width="18.7109375" style="271" customWidth="1"/>
    <col min="5" max="5" width="18.28515625" style="271" customWidth="1"/>
    <col min="6" max="16384" width="9.140625" style="271"/>
  </cols>
  <sheetData>
    <row r="1" spans="1:5" x14ac:dyDescent="0.3">
      <c r="A1" s="270"/>
      <c r="B1" s="270"/>
      <c r="C1" s="270"/>
      <c r="D1" s="270"/>
      <c r="E1" s="270" t="s">
        <v>351</v>
      </c>
    </row>
    <row r="2" spans="1:5" ht="42.75" customHeight="1" x14ac:dyDescent="0.3">
      <c r="A2" s="485" t="s">
        <v>458</v>
      </c>
      <c r="B2" s="485"/>
      <c r="C2" s="485"/>
      <c r="D2" s="485"/>
      <c r="E2" s="485"/>
    </row>
    <row r="3" spans="1:5" ht="15.75" customHeight="1" x14ac:dyDescent="0.3">
      <c r="A3" s="486" t="s">
        <v>0</v>
      </c>
      <c r="B3" s="487" t="s">
        <v>1</v>
      </c>
      <c r="C3" s="428" t="s">
        <v>2</v>
      </c>
      <c r="D3" s="428"/>
      <c r="E3" s="428"/>
    </row>
    <row r="4" spans="1:5" ht="15.75" customHeight="1" x14ac:dyDescent="0.3">
      <c r="A4" s="486"/>
      <c r="B4" s="487"/>
      <c r="C4" s="465" t="s">
        <v>3</v>
      </c>
      <c r="D4" s="428" t="s">
        <v>4</v>
      </c>
      <c r="E4" s="428"/>
    </row>
    <row r="5" spans="1:5" ht="15.75" customHeight="1" x14ac:dyDescent="0.3">
      <c r="A5" s="486"/>
      <c r="B5" s="487"/>
      <c r="C5" s="466"/>
      <c r="D5" s="272" t="s">
        <v>5</v>
      </c>
      <c r="E5" s="272" t="s">
        <v>6</v>
      </c>
    </row>
    <row r="6" spans="1:5" x14ac:dyDescent="0.3">
      <c r="A6" s="273">
        <v>1</v>
      </c>
      <c r="B6" s="274">
        <v>2</v>
      </c>
      <c r="C6" s="121">
        <v>3</v>
      </c>
      <c r="D6" s="275">
        <v>4</v>
      </c>
      <c r="E6" s="275">
        <v>5</v>
      </c>
    </row>
    <row r="7" spans="1:5" x14ac:dyDescent="0.3">
      <c r="A7" s="276">
        <v>1</v>
      </c>
      <c r="B7" s="277" t="s">
        <v>7</v>
      </c>
      <c r="C7" s="287">
        <v>3895.2</v>
      </c>
      <c r="D7" s="287">
        <f>C7</f>
        <v>3895.2</v>
      </c>
      <c r="E7" s="287">
        <f>C7</f>
        <v>3895.2</v>
      </c>
    </row>
    <row r="8" spans="1:5" s="279" customFormat="1" x14ac:dyDescent="0.3">
      <c r="A8" s="276">
        <v>2</v>
      </c>
      <c r="B8" s="277" t="s">
        <v>8</v>
      </c>
      <c r="C8" s="278">
        <v>4667</v>
      </c>
      <c r="D8" s="287">
        <f t="shared" ref="D8:D48" si="0">C8</f>
        <v>4667</v>
      </c>
      <c r="E8" s="287">
        <f t="shared" ref="E8:E48" si="1">C8</f>
        <v>4667</v>
      </c>
    </row>
    <row r="9" spans="1:5" s="279" customFormat="1" x14ac:dyDescent="0.3">
      <c r="A9" s="276">
        <v>3</v>
      </c>
      <c r="B9" s="277" t="s">
        <v>9</v>
      </c>
      <c r="C9" s="278">
        <v>39794.1</v>
      </c>
      <c r="D9" s="287">
        <f t="shared" si="0"/>
        <v>39794.1</v>
      </c>
      <c r="E9" s="287">
        <f t="shared" si="1"/>
        <v>39794.1</v>
      </c>
    </row>
    <row r="10" spans="1:5" s="279" customFormat="1" x14ac:dyDescent="0.3">
      <c r="A10" s="276">
        <v>4</v>
      </c>
      <c r="B10" s="277" t="s">
        <v>10</v>
      </c>
      <c r="C10" s="278">
        <v>3403</v>
      </c>
      <c r="D10" s="287">
        <f t="shared" si="0"/>
        <v>3403</v>
      </c>
      <c r="E10" s="287">
        <f t="shared" si="1"/>
        <v>3403</v>
      </c>
    </row>
    <row r="11" spans="1:5" s="279" customFormat="1" x14ac:dyDescent="0.3">
      <c r="A11" s="276">
        <v>5</v>
      </c>
      <c r="B11" s="277" t="s">
        <v>11</v>
      </c>
      <c r="C11" s="278">
        <v>5037.3</v>
      </c>
      <c r="D11" s="287">
        <f t="shared" si="0"/>
        <v>5037.3</v>
      </c>
      <c r="E11" s="287">
        <f t="shared" si="1"/>
        <v>5037.3</v>
      </c>
    </row>
    <row r="12" spans="1:5" x14ac:dyDescent="0.3">
      <c r="A12" s="276">
        <v>6</v>
      </c>
      <c r="B12" s="277" t="s">
        <v>12</v>
      </c>
      <c r="C12" s="278">
        <v>1532.6</v>
      </c>
      <c r="D12" s="287">
        <f t="shared" si="0"/>
        <v>1532.6</v>
      </c>
      <c r="E12" s="287">
        <f t="shared" si="1"/>
        <v>1532.6</v>
      </c>
    </row>
    <row r="13" spans="1:5" x14ac:dyDescent="0.3">
      <c r="A13" s="276">
        <v>7</v>
      </c>
      <c r="B13" s="277" t="s">
        <v>13</v>
      </c>
      <c r="C13" s="278">
        <v>1630.6</v>
      </c>
      <c r="D13" s="287">
        <f t="shared" si="0"/>
        <v>1630.6</v>
      </c>
      <c r="E13" s="287">
        <f t="shared" si="1"/>
        <v>1630.6</v>
      </c>
    </row>
    <row r="14" spans="1:5" x14ac:dyDescent="0.3">
      <c r="A14" s="276">
        <v>8</v>
      </c>
      <c r="B14" s="277" t="s">
        <v>14</v>
      </c>
      <c r="C14" s="278">
        <v>1768.5</v>
      </c>
      <c r="D14" s="287">
        <f t="shared" si="0"/>
        <v>1768.5</v>
      </c>
      <c r="E14" s="287">
        <f t="shared" si="1"/>
        <v>1768.5</v>
      </c>
    </row>
    <row r="15" spans="1:5" x14ac:dyDescent="0.3">
      <c r="A15" s="276">
        <v>9</v>
      </c>
      <c r="B15" s="277" t="s">
        <v>15</v>
      </c>
      <c r="C15" s="278">
        <v>2564.9</v>
      </c>
      <c r="D15" s="287">
        <f t="shared" si="0"/>
        <v>2564.9</v>
      </c>
      <c r="E15" s="287">
        <f t="shared" si="1"/>
        <v>2564.9</v>
      </c>
    </row>
    <row r="16" spans="1:5" x14ac:dyDescent="0.3">
      <c r="A16" s="276">
        <v>10</v>
      </c>
      <c r="B16" s="280" t="s">
        <v>16</v>
      </c>
      <c r="C16" s="278">
        <v>742.6</v>
      </c>
      <c r="D16" s="287">
        <f t="shared" si="0"/>
        <v>742.6</v>
      </c>
      <c r="E16" s="287">
        <f t="shared" si="1"/>
        <v>742.6</v>
      </c>
    </row>
    <row r="17" spans="1:17" x14ac:dyDescent="0.3">
      <c r="A17" s="276">
        <v>11</v>
      </c>
      <c r="B17" s="280" t="s">
        <v>17</v>
      </c>
      <c r="C17" s="278">
        <v>515.20000000000005</v>
      </c>
      <c r="D17" s="287">
        <f t="shared" si="0"/>
        <v>515.20000000000005</v>
      </c>
      <c r="E17" s="287">
        <f t="shared" si="1"/>
        <v>515.20000000000005</v>
      </c>
    </row>
    <row r="18" spans="1:17" x14ac:dyDescent="0.3">
      <c r="A18" s="276">
        <v>12</v>
      </c>
      <c r="B18" s="277" t="s">
        <v>18</v>
      </c>
      <c r="C18" s="278">
        <v>895.2</v>
      </c>
      <c r="D18" s="287">
        <f t="shared" si="0"/>
        <v>895.2</v>
      </c>
      <c r="E18" s="287">
        <f t="shared" si="1"/>
        <v>895.2</v>
      </c>
    </row>
    <row r="19" spans="1:17" x14ac:dyDescent="0.3">
      <c r="A19" s="276">
        <v>13</v>
      </c>
      <c r="B19" s="277" t="s">
        <v>19</v>
      </c>
      <c r="C19" s="278">
        <v>564.20000000000005</v>
      </c>
      <c r="D19" s="287">
        <f t="shared" si="0"/>
        <v>564.20000000000005</v>
      </c>
      <c r="E19" s="287">
        <f t="shared" si="1"/>
        <v>564.20000000000005</v>
      </c>
      <c r="Q19" s="222"/>
    </row>
    <row r="20" spans="1:17" x14ac:dyDescent="0.3">
      <c r="A20" s="276">
        <v>14</v>
      </c>
      <c r="B20" s="277" t="s">
        <v>20</v>
      </c>
      <c r="C20" s="278">
        <v>290.8</v>
      </c>
      <c r="D20" s="287">
        <f t="shared" si="0"/>
        <v>290.8</v>
      </c>
      <c r="E20" s="287">
        <f t="shared" si="1"/>
        <v>290.8</v>
      </c>
    </row>
    <row r="21" spans="1:17" x14ac:dyDescent="0.3">
      <c r="A21" s="276">
        <v>15</v>
      </c>
      <c r="B21" s="277" t="s">
        <v>21</v>
      </c>
      <c r="C21" s="278">
        <v>546.1</v>
      </c>
      <c r="D21" s="287">
        <f t="shared" si="0"/>
        <v>546.1</v>
      </c>
      <c r="E21" s="287">
        <f t="shared" si="1"/>
        <v>546.1</v>
      </c>
    </row>
    <row r="22" spans="1:17" x14ac:dyDescent="0.3">
      <c r="A22" s="276">
        <v>16</v>
      </c>
      <c r="B22" s="277" t="s">
        <v>22</v>
      </c>
      <c r="C22" s="278">
        <v>341.3</v>
      </c>
      <c r="D22" s="287">
        <f t="shared" si="0"/>
        <v>341.3</v>
      </c>
      <c r="E22" s="287">
        <f t="shared" si="1"/>
        <v>341.3</v>
      </c>
    </row>
    <row r="23" spans="1:17" x14ac:dyDescent="0.3">
      <c r="A23" s="276">
        <v>17</v>
      </c>
      <c r="B23" s="277" t="s">
        <v>23</v>
      </c>
      <c r="C23" s="278">
        <v>189.9</v>
      </c>
      <c r="D23" s="287">
        <f t="shared" si="0"/>
        <v>189.9</v>
      </c>
      <c r="E23" s="287">
        <f t="shared" si="1"/>
        <v>189.9</v>
      </c>
    </row>
    <row r="24" spans="1:17" x14ac:dyDescent="0.3">
      <c r="A24" s="276">
        <v>18</v>
      </c>
      <c r="B24" s="277" t="s">
        <v>24</v>
      </c>
      <c r="C24" s="278">
        <v>735.7</v>
      </c>
      <c r="D24" s="287">
        <f t="shared" si="0"/>
        <v>735.7</v>
      </c>
      <c r="E24" s="287">
        <f t="shared" si="1"/>
        <v>735.7</v>
      </c>
    </row>
    <row r="25" spans="1:17" x14ac:dyDescent="0.3">
      <c r="A25" s="276">
        <v>19</v>
      </c>
      <c r="B25" s="277" t="s">
        <v>25</v>
      </c>
      <c r="C25" s="278">
        <v>1862.3</v>
      </c>
      <c r="D25" s="287">
        <f t="shared" si="0"/>
        <v>1862.3</v>
      </c>
      <c r="E25" s="287">
        <f t="shared" si="1"/>
        <v>1862.3</v>
      </c>
    </row>
    <row r="26" spans="1:17" x14ac:dyDescent="0.3">
      <c r="A26" s="276">
        <v>20</v>
      </c>
      <c r="B26" s="277" t="s">
        <v>26</v>
      </c>
      <c r="C26" s="278">
        <v>188</v>
      </c>
      <c r="D26" s="287">
        <f t="shared" si="0"/>
        <v>188</v>
      </c>
      <c r="E26" s="287">
        <f t="shared" si="1"/>
        <v>188</v>
      </c>
    </row>
    <row r="27" spans="1:17" x14ac:dyDescent="0.3">
      <c r="A27" s="276">
        <v>21</v>
      </c>
      <c r="B27" s="277" t="s">
        <v>27</v>
      </c>
      <c r="C27" s="278">
        <v>2269.9</v>
      </c>
      <c r="D27" s="287">
        <f t="shared" si="0"/>
        <v>2269.9</v>
      </c>
      <c r="E27" s="287">
        <f t="shared" si="1"/>
        <v>2269.9</v>
      </c>
    </row>
    <row r="28" spans="1:17" x14ac:dyDescent="0.3">
      <c r="A28" s="276">
        <v>22</v>
      </c>
      <c r="B28" s="277" t="s">
        <v>28</v>
      </c>
      <c r="C28" s="278">
        <v>230.2</v>
      </c>
      <c r="D28" s="287">
        <f t="shared" si="0"/>
        <v>230.2</v>
      </c>
      <c r="E28" s="287">
        <f t="shared" si="1"/>
        <v>230.2</v>
      </c>
    </row>
    <row r="29" spans="1:17" x14ac:dyDescent="0.3">
      <c r="A29" s="276">
        <v>23</v>
      </c>
      <c r="B29" s="277" t="s">
        <v>29</v>
      </c>
      <c r="C29" s="278">
        <v>958</v>
      </c>
      <c r="D29" s="287">
        <f t="shared" si="0"/>
        <v>958</v>
      </c>
      <c r="E29" s="287">
        <f t="shared" si="1"/>
        <v>958</v>
      </c>
    </row>
    <row r="30" spans="1:17" x14ac:dyDescent="0.3">
      <c r="A30" s="276">
        <v>24</v>
      </c>
      <c r="B30" s="277" t="s">
        <v>30</v>
      </c>
      <c r="C30" s="278">
        <v>3457.8</v>
      </c>
      <c r="D30" s="287">
        <f t="shared" si="0"/>
        <v>3457.8</v>
      </c>
      <c r="E30" s="287">
        <f t="shared" si="1"/>
        <v>3457.8</v>
      </c>
    </row>
    <row r="31" spans="1:17" x14ac:dyDescent="0.3">
      <c r="A31" s="276">
        <v>25</v>
      </c>
      <c r="B31" s="277" t="s">
        <v>31</v>
      </c>
      <c r="C31" s="278">
        <v>1287.9000000000001</v>
      </c>
      <c r="D31" s="287">
        <f t="shared" si="0"/>
        <v>1287.9000000000001</v>
      </c>
      <c r="E31" s="287">
        <f t="shared" si="1"/>
        <v>1287.9000000000001</v>
      </c>
    </row>
    <row r="32" spans="1:17" x14ac:dyDescent="0.3">
      <c r="A32" s="276">
        <v>26</v>
      </c>
      <c r="B32" s="277" t="s">
        <v>32</v>
      </c>
      <c r="C32" s="278">
        <v>444.2</v>
      </c>
      <c r="D32" s="287">
        <f t="shared" si="0"/>
        <v>444.2</v>
      </c>
      <c r="E32" s="287">
        <f t="shared" si="1"/>
        <v>444.2</v>
      </c>
    </row>
    <row r="33" spans="1:5" x14ac:dyDescent="0.3">
      <c r="A33" s="276">
        <v>27</v>
      </c>
      <c r="B33" s="277" t="s">
        <v>33</v>
      </c>
      <c r="C33" s="278">
        <v>522.6</v>
      </c>
      <c r="D33" s="287">
        <f t="shared" si="0"/>
        <v>522.6</v>
      </c>
      <c r="E33" s="287">
        <f t="shared" si="1"/>
        <v>522.6</v>
      </c>
    </row>
    <row r="34" spans="1:5" x14ac:dyDescent="0.3">
      <c r="A34" s="276">
        <v>28</v>
      </c>
      <c r="B34" s="277" t="s">
        <v>34</v>
      </c>
      <c r="C34" s="278">
        <v>6123.9</v>
      </c>
      <c r="D34" s="287">
        <f t="shared" si="0"/>
        <v>6123.9</v>
      </c>
      <c r="E34" s="287">
        <f t="shared" si="1"/>
        <v>6123.9</v>
      </c>
    </row>
    <row r="35" spans="1:5" x14ac:dyDescent="0.3">
      <c r="A35" s="276">
        <v>29</v>
      </c>
      <c r="B35" s="277" t="s">
        <v>35</v>
      </c>
      <c r="C35" s="278">
        <v>794</v>
      </c>
      <c r="D35" s="287">
        <f t="shared" si="0"/>
        <v>794</v>
      </c>
      <c r="E35" s="287">
        <f t="shared" si="1"/>
        <v>794</v>
      </c>
    </row>
    <row r="36" spans="1:5" x14ac:dyDescent="0.3">
      <c r="A36" s="276">
        <v>30</v>
      </c>
      <c r="B36" s="277" t="s">
        <v>36</v>
      </c>
      <c r="C36" s="278">
        <v>1712.7</v>
      </c>
      <c r="D36" s="287">
        <f t="shared" si="0"/>
        <v>1712.7</v>
      </c>
      <c r="E36" s="287">
        <f t="shared" si="1"/>
        <v>1712.7</v>
      </c>
    </row>
    <row r="37" spans="1:5" x14ac:dyDescent="0.3">
      <c r="A37" s="276">
        <v>31</v>
      </c>
      <c r="B37" s="277" t="s">
        <v>37</v>
      </c>
      <c r="C37" s="278">
        <v>900</v>
      </c>
      <c r="D37" s="287">
        <f t="shared" si="0"/>
        <v>900</v>
      </c>
      <c r="E37" s="287">
        <f t="shared" si="1"/>
        <v>900</v>
      </c>
    </row>
    <row r="38" spans="1:5" x14ac:dyDescent="0.3">
      <c r="A38" s="276">
        <v>32</v>
      </c>
      <c r="B38" s="277" t="s">
        <v>38</v>
      </c>
      <c r="C38" s="278">
        <v>222.7</v>
      </c>
      <c r="D38" s="287">
        <f t="shared" si="0"/>
        <v>222.7</v>
      </c>
      <c r="E38" s="287">
        <f t="shared" si="1"/>
        <v>222.7</v>
      </c>
    </row>
    <row r="39" spans="1:5" x14ac:dyDescent="0.3">
      <c r="A39" s="276">
        <v>33</v>
      </c>
      <c r="B39" s="277" t="s">
        <v>39</v>
      </c>
      <c r="C39" s="278">
        <v>702.4</v>
      </c>
      <c r="D39" s="287">
        <f t="shared" si="0"/>
        <v>702.4</v>
      </c>
      <c r="E39" s="287">
        <f t="shared" si="1"/>
        <v>702.4</v>
      </c>
    </row>
    <row r="40" spans="1:5" x14ac:dyDescent="0.3">
      <c r="A40" s="276">
        <v>34</v>
      </c>
      <c r="B40" s="277" t="s">
        <v>40</v>
      </c>
      <c r="C40" s="278">
        <v>457.5</v>
      </c>
      <c r="D40" s="287">
        <f t="shared" si="0"/>
        <v>457.5</v>
      </c>
      <c r="E40" s="287">
        <f t="shared" si="1"/>
        <v>457.5</v>
      </c>
    </row>
    <row r="41" spans="1:5" x14ac:dyDescent="0.3">
      <c r="A41" s="276">
        <v>35</v>
      </c>
      <c r="B41" s="277" t="s">
        <v>41</v>
      </c>
      <c r="C41" s="278">
        <v>477.6</v>
      </c>
      <c r="D41" s="287">
        <f t="shared" si="0"/>
        <v>477.6</v>
      </c>
      <c r="E41" s="287">
        <f t="shared" si="1"/>
        <v>477.6</v>
      </c>
    </row>
    <row r="42" spans="1:5" x14ac:dyDescent="0.3">
      <c r="A42" s="276">
        <v>36</v>
      </c>
      <c r="B42" s="277" t="s">
        <v>42</v>
      </c>
      <c r="C42" s="278">
        <v>558.70000000000005</v>
      </c>
      <c r="D42" s="287">
        <f t="shared" si="0"/>
        <v>558.70000000000005</v>
      </c>
      <c r="E42" s="287">
        <f t="shared" si="1"/>
        <v>558.70000000000005</v>
      </c>
    </row>
    <row r="43" spans="1:5" x14ac:dyDescent="0.3">
      <c r="A43" s="276">
        <v>37</v>
      </c>
      <c r="B43" s="277" t="s">
        <v>43</v>
      </c>
      <c r="C43" s="278">
        <v>1320</v>
      </c>
      <c r="D43" s="287">
        <f t="shared" si="0"/>
        <v>1320</v>
      </c>
      <c r="E43" s="287">
        <f t="shared" si="1"/>
        <v>1320</v>
      </c>
    </row>
    <row r="44" spans="1:5" x14ac:dyDescent="0.3">
      <c r="A44" s="276">
        <v>38</v>
      </c>
      <c r="B44" s="277" t="s">
        <v>44</v>
      </c>
      <c r="C44" s="278">
        <v>735.6</v>
      </c>
      <c r="D44" s="287">
        <f t="shared" si="0"/>
        <v>735.6</v>
      </c>
      <c r="E44" s="287">
        <f t="shared" si="1"/>
        <v>735.6</v>
      </c>
    </row>
    <row r="45" spans="1:5" x14ac:dyDescent="0.3">
      <c r="A45" s="276">
        <v>39</v>
      </c>
      <c r="B45" s="277" t="s">
        <v>45</v>
      </c>
      <c r="C45" s="278">
        <v>1318</v>
      </c>
      <c r="D45" s="287">
        <f t="shared" si="0"/>
        <v>1318</v>
      </c>
      <c r="E45" s="287">
        <f t="shared" si="1"/>
        <v>1318</v>
      </c>
    </row>
    <row r="46" spans="1:5" x14ac:dyDescent="0.3">
      <c r="A46" s="276">
        <v>40</v>
      </c>
      <c r="B46" s="277" t="s">
        <v>46</v>
      </c>
      <c r="C46" s="278">
        <v>405.8</v>
      </c>
      <c r="D46" s="287">
        <f t="shared" si="0"/>
        <v>405.8</v>
      </c>
      <c r="E46" s="287">
        <f t="shared" si="1"/>
        <v>405.8</v>
      </c>
    </row>
    <row r="47" spans="1:5" x14ac:dyDescent="0.3">
      <c r="A47" s="276">
        <v>41</v>
      </c>
      <c r="B47" s="281" t="s">
        <v>47</v>
      </c>
      <c r="C47" s="278">
        <v>982.5</v>
      </c>
      <c r="D47" s="287">
        <f t="shared" si="0"/>
        <v>982.5</v>
      </c>
      <c r="E47" s="287">
        <f t="shared" si="1"/>
        <v>982.5</v>
      </c>
    </row>
    <row r="48" spans="1:5" x14ac:dyDescent="0.3">
      <c r="A48" s="276">
        <v>42</v>
      </c>
      <c r="B48" s="281" t="s">
        <v>48</v>
      </c>
      <c r="C48" s="278">
        <v>128.69999999999999</v>
      </c>
      <c r="D48" s="287">
        <f t="shared" si="0"/>
        <v>128.69999999999999</v>
      </c>
      <c r="E48" s="287">
        <f t="shared" si="1"/>
        <v>128.69999999999999</v>
      </c>
    </row>
    <row r="49" spans="1:5" x14ac:dyDescent="0.3">
      <c r="A49" s="282"/>
      <c r="B49" s="283" t="s">
        <v>49</v>
      </c>
      <c r="C49" s="284">
        <f>SUM(C7:C48)</f>
        <v>97175.199999999983</v>
      </c>
      <c r="D49" s="284">
        <f t="shared" ref="D49:E49" si="2">SUM(D7:D48)</f>
        <v>97175.199999999983</v>
      </c>
      <c r="E49" s="284">
        <f t="shared" si="2"/>
        <v>97175.199999999983</v>
      </c>
    </row>
    <row r="50" spans="1:5" ht="64.5" customHeight="1" x14ac:dyDescent="0.3">
      <c r="A50" s="482"/>
      <c r="B50" s="482"/>
      <c r="C50" s="285"/>
      <c r="D50" s="483"/>
      <c r="E50" s="483"/>
    </row>
    <row r="51" spans="1:5" hidden="1" x14ac:dyDescent="0.3"/>
    <row r="52" spans="1:5" x14ac:dyDescent="0.3">
      <c r="A52" s="484"/>
      <c r="B52" s="484"/>
      <c r="C52" s="286"/>
    </row>
  </sheetData>
  <mergeCells count="9">
    <mergeCell ref="A50:B50"/>
    <mergeCell ref="D50:E50"/>
    <mergeCell ref="A52:B52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1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52"/>
  <sheetViews>
    <sheetView view="pageBreakPreview" zoomScaleNormal="75" zoomScaleSheetLayoutView="100" workbookViewId="0">
      <selection activeCell="M9" sqref="M9"/>
    </sheetView>
  </sheetViews>
  <sheetFormatPr defaultColWidth="9.140625" defaultRowHeight="18.75" x14ac:dyDescent="0.3"/>
  <cols>
    <col min="1" max="1" width="6.7109375" style="288" bestFit="1" customWidth="1"/>
    <col min="2" max="2" width="50.28515625" style="288" customWidth="1"/>
    <col min="3" max="3" width="17.85546875" style="288" customWidth="1"/>
    <col min="4" max="4" width="16.85546875" style="288" customWidth="1"/>
    <col min="5" max="5" width="18.5703125" style="288" customWidth="1"/>
    <col min="6" max="16384" width="9.140625" style="288"/>
  </cols>
  <sheetData>
    <row r="1" spans="1:5" x14ac:dyDescent="0.3">
      <c r="A1" s="488" t="s">
        <v>350</v>
      </c>
      <c r="B1" s="488"/>
      <c r="C1" s="488"/>
      <c r="D1" s="488"/>
      <c r="E1" s="488"/>
    </row>
    <row r="2" spans="1:5" ht="60" customHeight="1" x14ac:dyDescent="0.3">
      <c r="A2" s="489" t="s">
        <v>451</v>
      </c>
      <c r="B2" s="489"/>
      <c r="C2" s="489"/>
      <c r="D2" s="489"/>
      <c r="E2" s="489"/>
    </row>
    <row r="3" spans="1:5" ht="15.75" customHeight="1" x14ac:dyDescent="0.3">
      <c r="A3" s="490" t="s">
        <v>0</v>
      </c>
      <c r="B3" s="491" t="s">
        <v>1</v>
      </c>
      <c r="C3" s="428" t="s">
        <v>2</v>
      </c>
      <c r="D3" s="428"/>
      <c r="E3" s="428"/>
    </row>
    <row r="4" spans="1:5" ht="15.75" customHeight="1" x14ac:dyDescent="0.3">
      <c r="A4" s="490"/>
      <c r="B4" s="491"/>
      <c r="C4" s="465" t="s">
        <v>3</v>
      </c>
      <c r="D4" s="428" t="s">
        <v>4</v>
      </c>
      <c r="E4" s="428"/>
    </row>
    <row r="5" spans="1:5" ht="15.75" customHeight="1" x14ac:dyDescent="0.3">
      <c r="A5" s="490"/>
      <c r="B5" s="491"/>
      <c r="C5" s="466"/>
      <c r="D5" s="120" t="s">
        <v>5</v>
      </c>
      <c r="E5" s="120" t="s">
        <v>6</v>
      </c>
    </row>
    <row r="6" spans="1:5" x14ac:dyDescent="0.3">
      <c r="A6" s="289">
        <v>1</v>
      </c>
      <c r="B6" s="290">
        <v>2</v>
      </c>
      <c r="C6" s="121">
        <v>3</v>
      </c>
      <c r="D6" s="122">
        <v>4</v>
      </c>
      <c r="E6" s="122">
        <v>5</v>
      </c>
    </row>
    <row r="7" spans="1:5" x14ac:dyDescent="0.3">
      <c r="A7" s="291">
        <v>1</v>
      </c>
      <c r="B7" s="123" t="s">
        <v>7</v>
      </c>
      <c r="C7" s="297">
        <v>220</v>
      </c>
      <c r="D7" s="297">
        <f>C7</f>
        <v>220</v>
      </c>
      <c r="E7" s="297">
        <f>C7</f>
        <v>220</v>
      </c>
    </row>
    <row r="8" spans="1:5" s="292" customFormat="1" x14ac:dyDescent="0.3">
      <c r="A8" s="291">
        <v>2</v>
      </c>
      <c r="B8" s="123" t="s">
        <v>8</v>
      </c>
      <c r="C8" s="298">
        <v>180.2</v>
      </c>
      <c r="D8" s="297">
        <f t="shared" ref="D8:D48" si="0">C8</f>
        <v>180.2</v>
      </c>
      <c r="E8" s="297">
        <f t="shared" ref="E8:E48" si="1">C8</f>
        <v>180.2</v>
      </c>
    </row>
    <row r="9" spans="1:5" s="292" customFormat="1" x14ac:dyDescent="0.3">
      <c r="A9" s="291">
        <v>3</v>
      </c>
      <c r="B9" s="123" t="s">
        <v>9</v>
      </c>
      <c r="C9" s="298">
        <v>0</v>
      </c>
      <c r="D9" s="297">
        <f t="shared" si="0"/>
        <v>0</v>
      </c>
      <c r="E9" s="297">
        <f t="shared" si="1"/>
        <v>0</v>
      </c>
    </row>
    <row r="10" spans="1:5" s="292" customFormat="1" x14ac:dyDescent="0.3">
      <c r="A10" s="291">
        <v>4</v>
      </c>
      <c r="B10" s="123" t="s">
        <v>10</v>
      </c>
      <c r="C10" s="298">
        <v>116.7</v>
      </c>
      <c r="D10" s="297">
        <f t="shared" si="0"/>
        <v>116.7</v>
      </c>
      <c r="E10" s="297">
        <f t="shared" si="1"/>
        <v>116.7</v>
      </c>
    </row>
    <row r="11" spans="1:5" s="292" customFormat="1" x14ac:dyDescent="0.3">
      <c r="A11" s="291">
        <v>5</v>
      </c>
      <c r="B11" s="123" t="s">
        <v>11</v>
      </c>
      <c r="C11" s="298">
        <v>226.7</v>
      </c>
      <c r="D11" s="297">
        <f t="shared" si="0"/>
        <v>226.7</v>
      </c>
      <c r="E11" s="297">
        <f t="shared" si="1"/>
        <v>226.7</v>
      </c>
    </row>
    <row r="12" spans="1:5" x14ac:dyDescent="0.3">
      <c r="A12" s="291">
        <v>6</v>
      </c>
      <c r="B12" s="123" t="s">
        <v>12</v>
      </c>
      <c r="C12" s="298">
        <v>100</v>
      </c>
      <c r="D12" s="297">
        <f t="shared" si="0"/>
        <v>100</v>
      </c>
      <c r="E12" s="297">
        <f t="shared" si="1"/>
        <v>100</v>
      </c>
    </row>
    <row r="13" spans="1:5" x14ac:dyDescent="0.3">
      <c r="A13" s="291">
        <v>7</v>
      </c>
      <c r="B13" s="123" t="s">
        <v>13</v>
      </c>
      <c r="C13" s="298">
        <v>175</v>
      </c>
      <c r="D13" s="297">
        <f t="shared" si="0"/>
        <v>175</v>
      </c>
      <c r="E13" s="297">
        <f t="shared" si="1"/>
        <v>175</v>
      </c>
    </row>
    <row r="14" spans="1:5" x14ac:dyDescent="0.3">
      <c r="A14" s="291">
        <v>8</v>
      </c>
      <c r="B14" s="123" t="s">
        <v>14</v>
      </c>
      <c r="C14" s="298">
        <v>124.3</v>
      </c>
      <c r="D14" s="297">
        <f t="shared" si="0"/>
        <v>124.3</v>
      </c>
      <c r="E14" s="297">
        <f t="shared" si="1"/>
        <v>124.3</v>
      </c>
    </row>
    <row r="15" spans="1:5" x14ac:dyDescent="0.3">
      <c r="A15" s="291">
        <v>9</v>
      </c>
      <c r="B15" s="123" t="s">
        <v>15</v>
      </c>
      <c r="C15" s="298">
        <v>183.4</v>
      </c>
      <c r="D15" s="297">
        <f t="shared" si="0"/>
        <v>183.4</v>
      </c>
      <c r="E15" s="297">
        <f t="shared" si="1"/>
        <v>183.4</v>
      </c>
    </row>
    <row r="16" spans="1:5" x14ac:dyDescent="0.3">
      <c r="A16" s="291">
        <v>10</v>
      </c>
      <c r="B16" s="293" t="s">
        <v>16</v>
      </c>
      <c r="C16" s="298">
        <v>75</v>
      </c>
      <c r="D16" s="297">
        <f t="shared" si="0"/>
        <v>75</v>
      </c>
      <c r="E16" s="297">
        <f t="shared" si="1"/>
        <v>75</v>
      </c>
    </row>
    <row r="17" spans="1:17" x14ac:dyDescent="0.3">
      <c r="A17" s="291">
        <v>11</v>
      </c>
      <c r="B17" s="293" t="s">
        <v>17</v>
      </c>
      <c r="C17" s="298">
        <v>48.3</v>
      </c>
      <c r="D17" s="297">
        <f t="shared" si="0"/>
        <v>48.3</v>
      </c>
      <c r="E17" s="297">
        <f t="shared" si="1"/>
        <v>48.3</v>
      </c>
    </row>
    <row r="18" spans="1:17" ht="37.5" x14ac:dyDescent="0.3">
      <c r="A18" s="291">
        <v>12</v>
      </c>
      <c r="B18" s="123" t="s">
        <v>18</v>
      </c>
      <c r="C18" s="298">
        <v>110</v>
      </c>
      <c r="D18" s="297">
        <f t="shared" si="0"/>
        <v>110</v>
      </c>
      <c r="E18" s="297">
        <f t="shared" si="1"/>
        <v>110</v>
      </c>
    </row>
    <row r="19" spans="1:17" x14ac:dyDescent="0.3">
      <c r="A19" s="291">
        <v>13</v>
      </c>
      <c r="B19" s="123" t="s">
        <v>19</v>
      </c>
      <c r="C19" s="298">
        <v>38.299999999999997</v>
      </c>
      <c r="D19" s="297">
        <f t="shared" si="0"/>
        <v>38.299999999999997</v>
      </c>
      <c r="E19" s="297">
        <f t="shared" si="1"/>
        <v>38.299999999999997</v>
      </c>
      <c r="Q19" s="221"/>
    </row>
    <row r="20" spans="1:17" x14ac:dyDescent="0.3">
      <c r="A20" s="291">
        <v>14</v>
      </c>
      <c r="B20" s="123" t="s">
        <v>20</v>
      </c>
      <c r="C20" s="298">
        <v>31.5</v>
      </c>
      <c r="D20" s="297">
        <f t="shared" si="0"/>
        <v>31.5</v>
      </c>
      <c r="E20" s="297">
        <f t="shared" si="1"/>
        <v>31.5</v>
      </c>
    </row>
    <row r="21" spans="1:17" x14ac:dyDescent="0.3">
      <c r="A21" s="291">
        <v>15</v>
      </c>
      <c r="B21" s="123" t="s">
        <v>21</v>
      </c>
      <c r="C21" s="298">
        <v>53.4</v>
      </c>
      <c r="D21" s="297">
        <f t="shared" si="0"/>
        <v>53.4</v>
      </c>
      <c r="E21" s="297">
        <f t="shared" si="1"/>
        <v>53.4</v>
      </c>
    </row>
    <row r="22" spans="1:17" x14ac:dyDescent="0.3">
      <c r="A22" s="291">
        <v>16</v>
      </c>
      <c r="B22" s="123" t="s">
        <v>22</v>
      </c>
      <c r="C22" s="298">
        <v>43.3</v>
      </c>
      <c r="D22" s="297">
        <f t="shared" si="0"/>
        <v>43.3</v>
      </c>
      <c r="E22" s="297">
        <f t="shared" si="1"/>
        <v>43.3</v>
      </c>
    </row>
    <row r="23" spans="1:17" x14ac:dyDescent="0.3">
      <c r="A23" s="291">
        <v>17</v>
      </c>
      <c r="B23" s="123" t="s">
        <v>23</v>
      </c>
      <c r="C23" s="298">
        <v>35</v>
      </c>
      <c r="D23" s="297">
        <f t="shared" si="0"/>
        <v>35</v>
      </c>
      <c r="E23" s="297">
        <f t="shared" si="1"/>
        <v>35</v>
      </c>
    </row>
    <row r="24" spans="1:17" x14ac:dyDescent="0.3">
      <c r="A24" s="291">
        <v>18</v>
      </c>
      <c r="B24" s="123" t="s">
        <v>24</v>
      </c>
      <c r="C24" s="298">
        <v>115</v>
      </c>
      <c r="D24" s="297">
        <f t="shared" si="0"/>
        <v>115</v>
      </c>
      <c r="E24" s="297">
        <f t="shared" si="1"/>
        <v>115</v>
      </c>
    </row>
    <row r="25" spans="1:17" x14ac:dyDescent="0.3">
      <c r="A25" s="291">
        <v>19</v>
      </c>
      <c r="B25" s="123" t="s">
        <v>25</v>
      </c>
      <c r="C25" s="298">
        <v>87.5</v>
      </c>
      <c r="D25" s="297">
        <f t="shared" si="0"/>
        <v>87.5</v>
      </c>
      <c r="E25" s="297">
        <f t="shared" si="1"/>
        <v>87.5</v>
      </c>
    </row>
    <row r="26" spans="1:17" x14ac:dyDescent="0.3">
      <c r="A26" s="291">
        <v>20</v>
      </c>
      <c r="B26" s="123" t="s">
        <v>26</v>
      </c>
      <c r="C26" s="298">
        <v>37.5</v>
      </c>
      <c r="D26" s="297">
        <f t="shared" si="0"/>
        <v>37.5</v>
      </c>
      <c r="E26" s="297">
        <f t="shared" si="1"/>
        <v>37.5</v>
      </c>
    </row>
    <row r="27" spans="1:17" x14ac:dyDescent="0.3">
      <c r="A27" s="291">
        <v>21</v>
      </c>
      <c r="B27" s="123" t="s">
        <v>27</v>
      </c>
      <c r="C27" s="298">
        <v>216.7</v>
      </c>
      <c r="D27" s="297">
        <f t="shared" si="0"/>
        <v>216.7</v>
      </c>
      <c r="E27" s="297">
        <f t="shared" si="1"/>
        <v>216.7</v>
      </c>
    </row>
    <row r="28" spans="1:17" x14ac:dyDescent="0.3">
      <c r="A28" s="291">
        <v>22</v>
      </c>
      <c r="B28" s="123" t="s">
        <v>28</v>
      </c>
      <c r="C28" s="298">
        <v>37.799999999999997</v>
      </c>
      <c r="D28" s="297">
        <f t="shared" si="0"/>
        <v>37.799999999999997</v>
      </c>
      <c r="E28" s="297">
        <f t="shared" si="1"/>
        <v>37.799999999999997</v>
      </c>
    </row>
    <row r="29" spans="1:17" x14ac:dyDescent="0.3">
      <c r="A29" s="291">
        <v>23</v>
      </c>
      <c r="B29" s="123" t="s">
        <v>29</v>
      </c>
      <c r="C29" s="298">
        <v>70</v>
      </c>
      <c r="D29" s="297">
        <f t="shared" si="0"/>
        <v>70</v>
      </c>
      <c r="E29" s="297">
        <f t="shared" si="1"/>
        <v>70</v>
      </c>
    </row>
    <row r="30" spans="1:17" x14ac:dyDescent="0.3">
      <c r="A30" s="291">
        <v>24</v>
      </c>
      <c r="B30" s="123" t="s">
        <v>30</v>
      </c>
      <c r="C30" s="298">
        <v>26.3</v>
      </c>
      <c r="D30" s="297">
        <f t="shared" si="0"/>
        <v>26.3</v>
      </c>
      <c r="E30" s="297">
        <f t="shared" si="1"/>
        <v>26.3</v>
      </c>
    </row>
    <row r="31" spans="1:17" x14ac:dyDescent="0.3">
      <c r="A31" s="291">
        <v>25</v>
      </c>
      <c r="B31" s="123" t="s">
        <v>31</v>
      </c>
      <c r="C31" s="298">
        <v>108.4</v>
      </c>
      <c r="D31" s="297">
        <f t="shared" si="0"/>
        <v>108.4</v>
      </c>
      <c r="E31" s="297">
        <f t="shared" si="1"/>
        <v>108.4</v>
      </c>
    </row>
    <row r="32" spans="1:17" x14ac:dyDescent="0.3">
      <c r="A32" s="291">
        <v>26</v>
      </c>
      <c r="B32" s="123" t="s">
        <v>32</v>
      </c>
      <c r="C32" s="298">
        <v>35</v>
      </c>
      <c r="D32" s="297">
        <f t="shared" si="0"/>
        <v>35</v>
      </c>
      <c r="E32" s="297">
        <f t="shared" si="1"/>
        <v>35</v>
      </c>
    </row>
    <row r="33" spans="1:5" x14ac:dyDescent="0.3">
      <c r="A33" s="291">
        <v>27</v>
      </c>
      <c r="B33" s="123" t="s">
        <v>33</v>
      </c>
      <c r="C33" s="298">
        <v>36.6</v>
      </c>
      <c r="D33" s="297">
        <f t="shared" si="0"/>
        <v>36.6</v>
      </c>
      <c r="E33" s="297">
        <f t="shared" si="1"/>
        <v>36.6</v>
      </c>
    </row>
    <row r="34" spans="1:5" x14ac:dyDescent="0.3">
      <c r="A34" s="291">
        <v>28</v>
      </c>
      <c r="B34" s="123" t="s">
        <v>34</v>
      </c>
      <c r="C34" s="298">
        <v>413.4</v>
      </c>
      <c r="D34" s="297">
        <f t="shared" si="0"/>
        <v>413.4</v>
      </c>
      <c r="E34" s="297">
        <f t="shared" si="1"/>
        <v>413.4</v>
      </c>
    </row>
    <row r="35" spans="1:5" x14ac:dyDescent="0.3">
      <c r="A35" s="291">
        <v>29</v>
      </c>
      <c r="B35" s="123" t="s">
        <v>35</v>
      </c>
      <c r="C35" s="298">
        <v>87.5</v>
      </c>
      <c r="D35" s="297">
        <f t="shared" si="0"/>
        <v>87.5</v>
      </c>
      <c r="E35" s="297">
        <f t="shared" si="1"/>
        <v>87.5</v>
      </c>
    </row>
    <row r="36" spans="1:5" x14ac:dyDescent="0.3">
      <c r="A36" s="291">
        <v>30</v>
      </c>
      <c r="B36" s="123" t="s">
        <v>36</v>
      </c>
      <c r="C36" s="298">
        <v>44.5</v>
      </c>
      <c r="D36" s="297">
        <f t="shared" si="0"/>
        <v>44.5</v>
      </c>
      <c r="E36" s="297">
        <f t="shared" si="1"/>
        <v>44.5</v>
      </c>
    </row>
    <row r="37" spans="1:5" x14ac:dyDescent="0.3">
      <c r="A37" s="291">
        <v>31</v>
      </c>
      <c r="B37" s="123" t="s">
        <v>37</v>
      </c>
      <c r="C37" s="298">
        <v>56.7</v>
      </c>
      <c r="D37" s="297">
        <f t="shared" si="0"/>
        <v>56.7</v>
      </c>
      <c r="E37" s="297">
        <f t="shared" si="1"/>
        <v>56.7</v>
      </c>
    </row>
    <row r="38" spans="1:5" x14ac:dyDescent="0.3">
      <c r="A38" s="291">
        <v>32</v>
      </c>
      <c r="B38" s="123" t="s">
        <v>38</v>
      </c>
      <c r="C38" s="298">
        <v>24</v>
      </c>
      <c r="D38" s="297">
        <f t="shared" si="0"/>
        <v>24</v>
      </c>
      <c r="E38" s="297">
        <f t="shared" si="1"/>
        <v>24</v>
      </c>
    </row>
    <row r="39" spans="1:5" x14ac:dyDescent="0.3">
      <c r="A39" s="291">
        <v>33</v>
      </c>
      <c r="B39" s="123" t="s">
        <v>39</v>
      </c>
      <c r="C39" s="298">
        <v>22.5</v>
      </c>
      <c r="D39" s="297">
        <f t="shared" si="0"/>
        <v>22.5</v>
      </c>
      <c r="E39" s="297">
        <f t="shared" si="1"/>
        <v>22.5</v>
      </c>
    </row>
    <row r="40" spans="1:5" x14ac:dyDescent="0.3">
      <c r="A40" s="291">
        <v>34</v>
      </c>
      <c r="B40" s="123" t="s">
        <v>40</v>
      </c>
      <c r="C40" s="298">
        <v>38.299999999999997</v>
      </c>
      <c r="D40" s="297">
        <f t="shared" si="0"/>
        <v>38.299999999999997</v>
      </c>
      <c r="E40" s="297">
        <f t="shared" si="1"/>
        <v>38.299999999999997</v>
      </c>
    </row>
    <row r="41" spans="1:5" x14ac:dyDescent="0.3">
      <c r="A41" s="291">
        <v>35</v>
      </c>
      <c r="B41" s="123" t="s">
        <v>41</v>
      </c>
      <c r="C41" s="298">
        <v>40</v>
      </c>
      <c r="D41" s="297">
        <f t="shared" si="0"/>
        <v>40</v>
      </c>
      <c r="E41" s="297">
        <f t="shared" si="1"/>
        <v>40</v>
      </c>
    </row>
    <row r="42" spans="1:5" x14ac:dyDescent="0.3">
      <c r="A42" s="291">
        <v>36</v>
      </c>
      <c r="B42" s="123" t="s">
        <v>42</v>
      </c>
      <c r="C42" s="298">
        <v>45</v>
      </c>
      <c r="D42" s="297">
        <f t="shared" si="0"/>
        <v>45</v>
      </c>
      <c r="E42" s="297">
        <f t="shared" si="1"/>
        <v>45</v>
      </c>
    </row>
    <row r="43" spans="1:5" x14ac:dyDescent="0.3">
      <c r="A43" s="291">
        <v>37</v>
      </c>
      <c r="B43" s="123" t="s">
        <v>43</v>
      </c>
      <c r="C43" s="298">
        <v>57.4</v>
      </c>
      <c r="D43" s="297">
        <f t="shared" si="0"/>
        <v>57.4</v>
      </c>
      <c r="E43" s="297">
        <f t="shared" si="1"/>
        <v>57.4</v>
      </c>
    </row>
    <row r="44" spans="1:5" x14ac:dyDescent="0.3">
      <c r="A44" s="291">
        <v>38</v>
      </c>
      <c r="B44" s="123" t="s">
        <v>44</v>
      </c>
      <c r="C44" s="298">
        <v>37.5</v>
      </c>
      <c r="D44" s="297">
        <f t="shared" si="0"/>
        <v>37.5</v>
      </c>
      <c r="E44" s="297">
        <f t="shared" si="1"/>
        <v>37.5</v>
      </c>
    </row>
    <row r="45" spans="1:5" x14ac:dyDescent="0.3">
      <c r="A45" s="291">
        <v>39</v>
      </c>
      <c r="B45" s="123" t="s">
        <v>45</v>
      </c>
      <c r="C45" s="298">
        <v>172.1</v>
      </c>
      <c r="D45" s="297">
        <f t="shared" si="0"/>
        <v>172.1</v>
      </c>
      <c r="E45" s="297">
        <f t="shared" si="1"/>
        <v>172.1</v>
      </c>
    </row>
    <row r="46" spans="1:5" x14ac:dyDescent="0.3">
      <c r="A46" s="291">
        <v>40</v>
      </c>
      <c r="B46" s="123" t="s">
        <v>46</v>
      </c>
      <c r="C46" s="298">
        <v>60.8</v>
      </c>
      <c r="D46" s="297">
        <f t="shared" si="0"/>
        <v>60.8</v>
      </c>
      <c r="E46" s="297">
        <f t="shared" si="1"/>
        <v>60.8</v>
      </c>
    </row>
    <row r="47" spans="1:5" x14ac:dyDescent="0.3">
      <c r="A47" s="291">
        <v>41</v>
      </c>
      <c r="B47" s="294" t="s">
        <v>47</v>
      </c>
      <c r="C47" s="298">
        <v>79.2</v>
      </c>
      <c r="D47" s="297">
        <f t="shared" si="0"/>
        <v>79.2</v>
      </c>
      <c r="E47" s="297">
        <f t="shared" si="1"/>
        <v>79.2</v>
      </c>
    </row>
    <row r="48" spans="1:5" x14ac:dyDescent="0.3">
      <c r="A48" s="291">
        <v>42</v>
      </c>
      <c r="B48" s="294" t="s">
        <v>48</v>
      </c>
      <c r="C48" s="298">
        <v>20.8</v>
      </c>
      <c r="D48" s="297">
        <f t="shared" si="0"/>
        <v>20.8</v>
      </c>
      <c r="E48" s="297">
        <f t="shared" si="1"/>
        <v>20.8</v>
      </c>
    </row>
    <row r="49" spans="1:5" x14ac:dyDescent="0.3">
      <c r="A49" s="295"/>
      <c r="B49" s="296" t="s">
        <v>49</v>
      </c>
      <c r="C49" s="299">
        <f>SUM(C7:C48)</f>
        <v>3731.6000000000004</v>
      </c>
      <c r="D49" s="299">
        <f t="shared" ref="D49:E49" si="2">SUM(D7:D48)</f>
        <v>3731.6000000000004</v>
      </c>
      <c r="E49" s="299">
        <f t="shared" si="2"/>
        <v>3731.6000000000004</v>
      </c>
    </row>
    <row r="50" spans="1:5" ht="64.5" customHeight="1" x14ac:dyDescent="0.3">
      <c r="A50" s="467"/>
      <c r="B50" s="467"/>
      <c r="C50" s="124"/>
      <c r="D50" s="468"/>
      <c r="E50" s="468"/>
    </row>
    <row r="51" spans="1:5" hidden="1" x14ac:dyDescent="0.3"/>
    <row r="52" spans="1:5" x14ac:dyDescent="0.3">
      <c r="A52" s="469"/>
      <c r="B52" s="469"/>
      <c r="C52" s="125"/>
    </row>
  </sheetData>
  <mergeCells count="10">
    <mergeCell ref="A50:B50"/>
    <mergeCell ref="D50:E50"/>
    <mergeCell ref="A52:B52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3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1"/>
  <sheetViews>
    <sheetView view="pageBreakPreview" zoomScaleNormal="100" zoomScaleSheetLayoutView="100" workbookViewId="0">
      <selection activeCell="J9" sqref="J9"/>
    </sheetView>
  </sheetViews>
  <sheetFormatPr defaultColWidth="9.140625" defaultRowHeight="18.75" x14ac:dyDescent="0.25"/>
  <cols>
    <col min="1" max="1" width="6.28515625" style="2" customWidth="1"/>
    <col min="2" max="2" width="52" style="2" customWidth="1"/>
    <col min="3" max="3" width="15.7109375" style="9" customWidth="1"/>
    <col min="4" max="4" width="15.5703125" style="9" customWidth="1"/>
    <col min="5" max="5" width="16.5703125" style="9" customWidth="1"/>
    <col min="6" max="7" width="9.140625" style="2"/>
    <col min="8" max="8" width="17" style="2" bestFit="1" customWidth="1"/>
    <col min="9" max="9" width="9.140625" style="2"/>
    <col min="10" max="10" width="113.140625" style="2" customWidth="1"/>
    <col min="11" max="16384" width="9.140625" style="2"/>
  </cols>
  <sheetData>
    <row r="1" spans="1:8" x14ac:dyDescent="0.25">
      <c r="A1" s="1"/>
      <c r="B1" s="450" t="s">
        <v>349</v>
      </c>
      <c r="C1" s="450"/>
      <c r="D1" s="450"/>
      <c r="E1" s="450"/>
    </row>
    <row r="2" spans="1:8" ht="64.5" customHeight="1" x14ac:dyDescent="0.25">
      <c r="A2" s="451" t="s">
        <v>459</v>
      </c>
      <c r="B2" s="451"/>
      <c r="C2" s="451"/>
      <c r="D2" s="451"/>
      <c r="E2" s="451"/>
    </row>
    <row r="3" spans="1:8" ht="11.25" customHeight="1" x14ac:dyDescent="0.25">
      <c r="A3" s="1"/>
      <c r="B3" s="3"/>
      <c r="C3" s="4"/>
      <c r="D3" s="4"/>
      <c r="E3" s="5" t="s">
        <v>61</v>
      </c>
    </row>
    <row r="4" spans="1:8" x14ac:dyDescent="0.25">
      <c r="A4" s="452" t="s">
        <v>62</v>
      </c>
      <c r="B4" s="453" t="s">
        <v>63</v>
      </c>
      <c r="C4" s="454" t="s">
        <v>2</v>
      </c>
      <c r="D4" s="455"/>
      <c r="E4" s="455"/>
    </row>
    <row r="5" spans="1:8" x14ac:dyDescent="0.25">
      <c r="A5" s="452"/>
      <c r="B5" s="453"/>
      <c r="C5" s="456" t="s">
        <v>3</v>
      </c>
      <c r="D5" s="458" t="s">
        <v>4</v>
      </c>
      <c r="E5" s="454"/>
    </row>
    <row r="6" spans="1:8" ht="19.5" customHeight="1" x14ac:dyDescent="0.25">
      <c r="A6" s="452"/>
      <c r="B6" s="453"/>
      <c r="C6" s="457"/>
      <c r="D6" s="112" t="s">
        <v>5</v>
      </c>
      <c r="E6" s="112" t="s">
        <v>6</v>
      </c>
    </row>
    <row r="7" spans="1:8" ht="14.25" customHeight="1" x14ac:dyDescent="0.25">
      <c r="A7" s="6">
        <v>1</v>
      </c>
      <c r="B7" s="7">
        <v>2</v>
      </c>
      <c r="C7" s="8">
        <v>3</v>
      </c>
      <c r="D7" s="112">
        <v>4</v>
      </c>
      <c r="E7" s="112">
        <v>5</v>
      </c>
    </row>
    <row r="8" spans="1:8" x14ac:dyDescent="0.25">
      <c r="A8" s="6">
        <v>1</v>
      </c>
      <c r="B8" s="14" t="s">
        <v>11</v>
      </c>
      <c r="C8" s="302">
        <v>21875.200000000001</v>
      </c>
      <c r="D8" s="303">
        <v>24674.5</v>
      </c>
      <c r="E8" s="303">
        <v>24534.799999999999</v>
      </c>
    </row>
    <row r="9" spans="1:8" x14ac:dyDescent="0.25">
      <c r="A9" s="6">
        <v>2</v>
      </c>
      <c r="B9" s="14" t="s">
        <v>12</v>
      </c>
      <c r="C9" s="302">
        <v>11543.6</v>
      </c>
      <c r="D9" s="303">
        <v>12459.2</v>
      </c>
      <c r="E9" s="303">
        <v>12528.4</v>
      </c>
    </row>
    <row r="10" spans="1:8" x14ac:dyDescent="0.25">
      <c r="A10" s="6">
        <v>3</v>
      </c>
      <c r="B10" s="14" t="s">
        <v>13</v>
      </c>
      <c r="C10" s="302">
        <v>6678.8</v>
      </c>
      <c r="D10" s="303">
        <v>7274.6</v>
      </c>
      <c r="E10" s="303">
        <v>7224.7</v>
      </c>
    </row>
    <row r="11" spans="1:8" x14ac:dyDescent="0.25">
      <c r="A11" s="6">
        <v>4</v>
      </c>
      <c r="B11" s="14" t="s">
        <v>14</v>
      </c>
      <c r="C11" s="302">
        <v>12844.4</v>
      </c>
      <c r="D11" s="303">
        <v>13990.2</v>
      </c>
      <c r="E11" s="303">
        <v>13894.1</v>
      </c>
    </row>
    <row r="12" spans="1:8" x14ac:dyDescent="0.25">
      <c r="A12" s="6">
        <v>5</v>
      </c>
      <c r="B12" s="14" t="s">
        <v>15</v>
      </c>
      <c r="C12" s="304">
        <v>18100.3</v>
      </c>
      <c r="D12" s="303">
        <v>19715</v>
      </c>
      <c r="E12" s="303">
        <v>19579.5</v>
      </c>
    </row>
    <row r="13" spans="1:8" x14ac:dyDescent="0.25">
      <c r="A13" s="10">
        <v>6</v>
      </c>
      <c r="B13" s="14" t="s">
        <v>16</v>
      </c>
      <c r="C13" s="28">
        <v>11833.1</v>
      </c>
      <c r="D13" s="28">
        <v>12176.5</v>
      </c>
      <c r="E13" s="28">
        <v>11808.7</v>
      </c>
      <c r="H13" s="31"/>
    </row>
    <row r="14" spans="1:8" x14ac:dyDescent="0.25">
      <c r="A14" s="10">
        <v>7</v>
      </c>
      <c r="B14" s="14" t="s">
        <v>17</v>
      </c>
      <c r="C14" s="28">
        <v>4568.8999999999996</v>
      </c>
      <c r="D14" s="28">
        <v>4976.5</v>
      </c>
      <c r="E14" s="28">
        <v>4942.3</v>
      </c>
      <c r="H14" s="31"/>
    </row>
    <row r="15" spans="1:8" x14ac:dyDescent="0.25">
      <c r="A15" s="10">
        <v>8</v>
      </c>
      <c r="B15" s="300" t="s">
        <v>72</v>
      </c>
      <c r="C15" s="28">
        <v>15710.1</v>
      </c>
      <c r="D15" s="28">
        <v>17111.599999999999</v>
      </c>
      <c r="E15" s="28">
        <v>16994</v>
      </c>
      <c r="H15" s="31"/>
    </row>
    <row r="16" spans="1:8" x14ac:dyDescent="0.25">
      <c r="A16" s="10">
        <v>9</v>
      </c>
      <c r="B16" s="300" t="s">
        <v>19</v>
      </c>
      <c r="C16" s="28">
        <v>2007.4</v>
      </c>
      <c r="D16" s="28">
        <v>2186.5</v>
      </c>
      <c r="E16" s="28">
        <v>2171.5</v>
      </c>
      <c r="H16" s="31"/>
    </row>
    <row r="17" spans="1:8" x14ac:dyDescent="0.25">
      <c r="A17" s="10">
        <v>10</v>
      </c>
      <c r="B17" s="300" t="s">
        <v>20</v>
      </c>
      <c r="C17" s="28">
        <v>1141.0999999999999</v>
      </c>
      <c r="D17" s="28">
        <v>1242.9000000000001</v>
      </c>
      <c r="E17" s="28">
        <v>1234.4000000000001</v>
      </c>
      <c r="H17" s="31"/>
    </row>
    <row r="18" spans="1:8" x14ac:dyDescent="0.25">
      <c r="A18" s="10">
        <v>11</v>
      </c>
      <c r="B18" s="300" t="s">
        <v>21</v>
      </c>
      <c r="C18" s="28">
        <v>7184.4</v>
      </c>
      <c r="D18" s="28">
        <v>7568.5</v>
      </c>
      <c r="E18" s="28">
        <v>7605.7</v>
      </c>
      <c r="H18" s="31"/>
    </row>
    <row r="19" spans="1:8" x14ac:dyDescent="0.25">
      <c r="A19" s="10">
        <v>12</v>
      </c>
      <c r="B19" s="300" t="s">
        <v>22</v>
      </c>
      <c r="C19" s="28">
        <v>3212.3</v>
      </c>
      <c r="D19" s="28">
        <v>3498.9</v>
      </c>
      <c r="E19" s="28">
        <v>3474.9</v>
      </c>
      <c r="H19" s="31"/>
    </row>
    <row r="20" spans="1:8" x14ac:dyDescent="0.25">
      <c r="A20" s="10">
        <v>13</v>
      </c>
      <c r="B20" s="300" t="s">
        <v>23</v>
      </c>
      <c r="C20" s="28">
        <v>2097.9</v>
      </c>
      <c r="D20" s="28">
        <v>2285.1</v>
      </c>
      <c r="E20" s="28">
        <v>2269.4</v>
      </c>
      <c r="H20" s="31"/>
    </row>
    <row r="21" spans="1:8" x14ac:dyDescent="0.25">
      <c r="A21" s="10">
        <v>14</v>
      </c>
      <c r="B21" s="300" t="s">
        <v>24</v>
      </c>
      <c r="C21" s="28">
        <v>4594.8</v>
      </c>
      <c r="D21" s="28">
        <v>5004.7</v>
      </c>
      <c r="E21" s="28">
        <v>4970.3</v>
      </c>
      <c r="H21" s="31"/>
    </row>
    <row r="22" spans="1:8" x14ac:dyDescent="0.25">
      <c r="A22" s="10">
        <v>15</v>
      </c>
      <c r="B22" s="14" t="s">
        <v>25</v>
      </c>
      <c r="C22" s="28">
        <v>2758.9</v>
      </c>
      <c r="D22" s="28">
        <v>3005</v>
      </c>
      <c r="E22" s="28">
        <v>2984.3</v>
      </c>
    </row>
    <row r="23" spans="1:8" x14ac:dyDescent="0.25">
      <c r="A23" s="10">
        <v>16</v>
      </c>
      <c r="B23" s="14" t="s">
        <v>26</v>
      </c>
      <c r="C23" s="28">
        <v>1107.2</v>
      </c>
      <c r="D23" s="28">
        <v>1206</v>
      </c>
      <c r="E23" s="28">
        <v>1197.7</v>
      </c>
    </row>
    <row r="24" spans="1:8" x14ac:dyDescent="0.25">
      <c r="A24" s="10">
        <v>17</v>
      </c>
      <c r="B24" s="14" t="s">
        <v>27</v>
      </c>
      <c r="C24" s="28">
        <v>12146.6</v>
      </c>
      <c r="D24" s="28">
        <v>13664</v>
      </c>
      <c r="E24" s="28">
        <v>13671.1</v>
      </c>
    </row>
    <row r="25" spans="1:8" x14ac:dyDescent="0.25">
      <c r="A25" s="10">
        <v>18</v>
      </c>
      <c r="B25" s="14" t="s">
        <v>28</v>
      </c>
      <c r="C25" s="28">
        <v>2498.6</v>
      </c>
      <c r="D25" s="28">
        <v>2721.5</v>
      </c>
      <c r="E25" s="28">
        <v>2702.8</v>
      </c>
    </row>
    <row r="26" spans="1:8" x14ac:dyDescent="0.25">
      <c r="A26" s="10">
        <v>19</v>
      </c>
      <c r="B26" s="14" t="s">
        <v>29</v>
      </c>
      <c r="C26" s="28">
        <v>9381.4</v>
      </c>
      <c r="D26" s="28">
        <v>10218.299999999999</v>
      </c>
      <c r="E26" s="28">
        <v>10148.1</v>
      </c>
    </row>
    <row r="27" spans="1:8" x14ac:dyDescent="0.25">
      <c r="A27" s="10">
        <v>20</v>
      </c>
      <c r="B27" s="14" t="s">
        <v>31</v>
      </c>
      <c r="C27" s="28">
        <v>8199.2999999999993</v>
      </c>
      <c r="D27" s="28">
        <v>9042.9</v>
      </c>
      <c r="E27" s="28">
        <v>9109.7000000000007</v>
      </c>
    </row>
    <row r="28" spans="1:8" x14ac:dyDescent="0.25">
      <c r="A28" s="10">
        <v>21</v>
      </c>
      <c r="B28" s="14" t="s">
        <v>32</v>
      </c>
      <c r="C28" s="28">
        <v>5935.7</v>
      </c>
      <c r="D28" s="28">
        <v>6465.2</v>
      </c>
      <c r="E28" s="28">
        <v>6420.8</v>
      </c>
    </row>
    <row r="29" spans="1:8" x14ac:dyDescent="0.25">
      <c r="A29" s="10">
        <v>22</v>
      </c>
      <c r="B29" s="14" t="s">
        <v>33</v>
      </c>
      <c r="C29" s="28">
        <v>1021.1</v>
      </c>
      <c r="D29" s="28">
        <v>1112.2</v>
      </c>
      <c r="E29" s="28">
        <v>1104.5999999999999</v>
      </c>
    </row>
    <row r="30" spans="1:8" x14ac:dyDescent="0.25">
      <c r="A30" s="10">
        <v>23</v>
      </c>
      <c r="B30" s="14" t="s">
        <v>35</v>
      </c>
      <c r="C30" s="28">
        <v>12035.6</v>
      </c>
      <c r="D30" s="28">
        <v>13109.3</v>
      </c>
      <c r="E30" s="28">
        <v>13019.3</v>
      </c>
    </row>
    <row r="31" spans="1:8" x14ac:dyDescent="0.25">
      <c r="A31" s="10">
        <v>24</v>
      </c>
      <c r="B31" s="14" t="s">
        <v>36</v>
      </c>
      <c r="C31" s="28">
        <v>17608.599999999999</v>
      </c>
      <c r="D31" s="28">
        <v>19794.599999999999</v>
      </c>
      <c r="E31" s="28">
        <v>19474.2</v>
      </c>
    </row>
    <row r="32" spans="1:8" x14ac:dyDescent="0.25">
      <c r="A32" s="10">
        <f t="shared" ref="A32" si="0">A31+1</f>
        <v>25</v>
      </c>
      <c r="B32" s="14" t="s">
        <v>37</v>
      </c>
      <c r="C32" s="28">
        <v>5516.3</v>
      </c>
      <c r="D32" s="28">
        <v>5734.6</v>
      </c>
      <c r="E32" s="28">
        <v>5736.5</v>
      </c>
    </row>
    <row r="33" spans="1:5" x14ac:dyDescent="0.25">
      <c r="A33" s="10">
        <v>26</v>
      </c>
      <c r="B33" s="14" t="s">
        <v>39</v>
      </c>
      <c r="C33" s="28">
        <v>5515.9</v>
      </c>
      <c r="D33" s="28">
        <v>6008</v>
      </c>
      <c r="E33" s="28">
        <v>5966.7</v>
      </c>
    </row>
    <row r="34" spans="1:5" x14ac:dyDescent="0.25">
      <c r="A34" s="10">
        <v>27</v>
      </c>
      <c r="B34" s="14" t="s">
        <v>40</v>
      </c>
      <c r="C34" s="28">
        <v>1084</v>
      </c>
      <c r="D34" s="28">
        <v>1180.7</v>
      </c>
      <c r="E34" s="28">
        <v>1172.5999999999999</v>
      </c>
    </row>
    <row r="35" spans="1:5" x14ac:dyDescent="0.25">
      <c r="A35" s="10">
        <v>28</v>
      </c>
      <c r="B35" s="14" t="s">
        <v>41</v>
      </c>
      <c r="C35" s="28">
        <v>135.6</v>
      </c>
      <c r="D35" s="28">
        <v>147.69999999999999</v>
      </c>
      <c r="E35" s="28">
        <v>146.69999999999999</v>
      </c>
    </row>
    <row r="36" spans="1:5" x14ac:dyDescent="0.25">
      <c r="A36" s="10">
        <v>29</v>
      </c>
      <c r="B36" s="14" t="s">
        <v>42</v>
      </c>
      <c r="C36" s="28">
        <v>6331.4</v>
      </c>
      <c r="D36" s="28">
        <v>6896.2</v>
      </c>
      <c r="E36" s="28">
        <v>6848.9</v>
      </c>
    </row>
    <row r="37" spans="1:5" x14ac:dyDescent="0.25">
      <c r="A37" s="10">
        <v>30</v>
      </c>
      <c r="B37" s="14" t="s">
        <v>43</v>
      </c>
      <c r="C37" s="28">
        <v>18806.7</v>
      </c>
      <c r="D37" s="28">
        <v>20450.599999999999</v>
      </c>
      <c r="E37" s="28">
        <v>20216.7</v>
      </c>
    </row>
    <row r="38" spans="1:5" x14ac:dyDescent="0.25">
      <c r="A38" s="10">
        <v>31</v>
      </c>
      <c r="B38" s="14" t="s">
        <v>45</v>
      </c>
      <c r="C38" s="28">
        <v>12244.4</v>
      </c>
      <c r="D38" s="28">
        <v>13191.6</v>
      </c>
      <c r="E38" s="28">
        <v>13236.5</v>
      </c>
    </row>
    <row r="39" spans="1:5" x14ac:dyDescent="0.25">
      <c r="A39" s="10">
        <v>32</v>
      </c>
      <c r="B39" s="14" t="s">
        <v>46</v>
      </c>
      <c r="C39" s="28">
        <v>7605</v>
      </c>
      <c r="D39" s="28">
        <v>8283.4</v>
      </c>
      <c r="E39" s="28">
        <v>8226.6</v>
      </c>
    </row>
    <row r="40" spans="1:5" x14ac:dyDescent="0.25">
      <c r="A40" s="12"/>
      <c r="B40" s="301" t="s">
        <v>65</v>
      </c>
      <c r="C40" s="157">
        <f>SUM(C8:C39)</f>
        <v>253324.6</v>
      </c>
      <c r="D40" s="157">
        <f>SUM(D8:D39)</f>
        <v>276396.50000000006</v>
      </c>
      <c r="E40" s="157">
        <f>SUM(E8:E39)</f>
        <v>274616.5</v>
      </c>
    </row>
    <row r="41" spans="1:5" x14ac:dyDescent="0.25">
      <c r="C41" s="15"/>
      <c r="D41" s="15"/>
      <c r="E41" s="15"/>
    </row>
  </sheetData>
  <mergeCells count="7"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87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8"/>
  <sheetViews>
    <sheetView view="pageBreakPreview" zoomScaleNormal="100" zoomScaleSheetLayoutView="100" workbookViewId="0">
      <selection activeCell="L10" sqref="L10"/>
    </sheetView>
  </sheetViews>
  <sheetFormatPr defaultRowHeight="18.75" x14ac:dyDescent="0.25"/>
  <cols>
    <col min="1" max="1" width="5.7109375" style="159" customWidth="1"/>
    <col min="2" max="2" width="39.7109375" style="159" customWidth="1"/>
    <col min="3" max="3" width="12.7109375" style="198" customWidth="1"/>
    <col min="4" max="4" width="14.42578125" style="198" customWidth="1"/>
    <col min="5" max="5" width="14.7109375" style="198" customWidth="1"/>
    <col min="6" max="256" width="9.140625" style="159"/>
    <col min="257" max="257" width="5.7109375" style="159" customWidth="1"/>
    <col min="258" max="258" width="38.140625" style="159" customWidth="1"/>
    <col min="259" max="259" width="11" style="159" customWidth="1"/>
    <col min="260" max="260" width="12.28515625" style="159" customWidth="1"/>
    <col min="261" max="261" width="11.5703125" style="159" customWidth="1"/>
    <col min="262" max="512" width="9.140625" style="159"/>
    <col min="513" max="513" width="5.7109375" style="159" customWidth="1"/>
    <col min="514" max="514" width="38.140625" style="159" customWidth="1"/>
    <col min="515" max="515" width="11" style="159" customWidth="1"/>
    <col min="516" max="516" width="12.28515625" style="159" customWidth="1"/>
    <col min="517" max="517" width="11.5703125" style="159" customWidth="1"/>
    <col min="518" max="768" width="9.140625" style="159"/>
    <col min="769" max="769" width="5.7109375" style="159" customWidth="1"/>
    <col min="770" max="770" width="38.140625" style="159" customWidth="1"/>
    <col min="771" max="771" width="11" style="159" customWidth="1"/>
    <col min="772" max="772" width="12.28515625" style="159" customWidth="1"/>
    <col min="773" max="773" width="11.5703125" style="159" customWidth="1"/>
    <col min="774" max="1024" width="9.140625" style="159"/>
    <col min="1025" max="1025" width="5.7109375" style="159" customWidth="1"/>
    <col min="1026" max="1026" width="38.140625" style="159" customWidth="1"/>
    <col min="1027" max="1027" width="11" style="159" customWidth="1"/>
    <col min="1028" max="1028" width="12.28515625" style="159" customWidth="1"/>
    <col min="1029" max="1029" width="11.5703125" style="159" customWidth="1"/>
    <col min="1030" max="1280" width="9.140625" style="159"/>
    <col min="1281" max="1281" width="5.7109375" style="159" customWidth="1"/>
    <col min="1282" max="1282" width="38.140625" style="159" customWidth="1"/>
    <col min="1283" max="1283" width="11" style="159" customWidth="1"/>
    <col min="1284" max="1284" width="12.28515625" style="159" customWidth="1"/>
    <col min="1285" max="1285" width="11.5703125" style="159" customWidth="1"/>
    <col min="1286" max="1536" width="9.140625" style="159"/>
    <col min="1537" max="1537" width="5.7109375" style="159" customWidth="1"/>
    <col min="1538" max="1538" width="38.140625" style="159" customWidth="1"/>
    <col min="1539" max="1539" width="11" style="159" customWidth="1"/>
    <col min="1540" max="1540" width="12.28515625" style="159" customWidth="1"/>
    <col min="1541" max="1541" width="11.5703125" style="159" customWidth="1"/>
    <col min="1542" max="1792" width="9.140625" style="159"/>
    <col min="1793" max="1793" width="5.7109375" style="159" customWidth="1"/>
    <col min="1794" max="1794" width="38.140625" style="159" customWidth="1"/>
    <col min="1795" max="1795" width="11" style="159" customWidth="1"/>
    <col min="1796" max="1796" width="12.28515625" style="159" customWidth="1"/>
    <col min="1797" max="1797" width="11.5703125" style="159" customWidth="1"/>
    <col min="1798" max="2048" width="9.140625" style="159"/>
    <col min="2049" max="2049" width="5.7109375" style="159" customWidth="1"/>
    <col min="2050" max="2050" width="38.140625" style="159" customWidth="1"/>
    <col min="2051" max="2051" width="11" style="159" customWidth="1"/>
    <col min="2052" max="2052" width="12.28515625" style="159" customWidth="1"/>
    <col min="2053" max="2053" width="11.5703125" style="159" customWidth="1"/>
    <col min="2054" max="2304" width="9.140625" style="159"/>
    <col min="2305" max="2305" width="5.7109375" style="159" customWidth="1"/>
    <col min="2306" max="2306" width="38.140625" style="159" customWidth="1"/>
    <col min="2307" max="2307" width="11" style="159" customWidth="1"/>
    <col min="2308" max="2308" width="12.28515625" style="159" customWidth="1"/>
    <col min="2309" max="2309" width="11.5703125" style="159" customWidth="1"/>
    <col min="2310" max="2560" width="9.140625" style="159"/>
    <col min="2561" max="2561" width="5.7109375" style="159" customWidth="1"/>
    <col min="2562" max="2562" width="38.140625" style="159" customWidth="1"/>
    <col min="2563" max="2563" width="11" style="159" customWidth="1"/>
    <col min="2564" max="2564" width="12.28515625" style="159" customWidth="1"/>
    <col min="2565" max="2565" width="11.5703125" style="159" customWidth="1"/>
    <col min="2566" max="2816" width="9.140625" style="159"/>
    <col min="2817" max="2817" width="5.7109375" style="159" customWidth="1"/>
    <col min="2818" max="2818" width="38.140625" style="159" customWidth="1"/>
    <col min="2819" max="2819" width="11" style="159" customWidth="1"/>
    <col min="2820" max="2820" width="12.28515625" style="159" customWidth="1"/>
    <col min="2821" max="2821" width="11.5703125" style="159" customWidth="1"/>
    <col min="2822" max="3072" width="9.140625" style="159"/>
    <col min="3073" max="3073" width="5.7109375" style="159" customWidth="1"/>
    <col min="3074" max="3074" width="38.140625" style="159" customWidth="1"/>
    <col min="3075" max="3075" width="11" style="159" customWidth="1"/>
    <col min="3076" max="3076" width="12.28515625" style="159" customWidth="1"/>
    <col min="3077" max="3077" width="11.5703125" style="159" customWidth="1"/>
    <col min="3078" max="3328" width="9.140625" style="159"/>
    <col min="3329" max="3329" width="5.7109375" style="159" customWidth="1"/>
    <col min="3330" max="3330" width="38.140625" style="159" customWidth="1"/>
    <col min="3331" max="3331" width="11" style="159" customWidth="1"/>
    <col min="3332" max="3332" width="12.28515625" style="159" customWidth="1"/>
    <col min="3333" max="3333" width="11.5703125" style="159" customWidth="1"/>
    <col min="3334" max="3584" width="9.140625" style="159"/>
    <col min="3585" max="3585" width="5.7109375" style="159" customWidth="1"/>
    <col min="3586" max="3586" width="38.140625" style="159" customWidth="1"/>
    <col min="3587" max="3587" width="11" style="159" customWidth="1"/>
    <col min="3588" max="3588" width="12.28515625" style="159" customWidth="1"/>
    <col min="3589" max="3589" width="11.5703125" style="159" customWidth="1"/>
    <col min="3590" max="3840" width="9.140625" style="159"/>
    <col min="3841" max="3841" width="5.7109375" style="159" customWidth="1"/>
    <col min="3842" max="3842" width="38.140625" style="159" customWidth="1"/>
    <col min="3843" max="3843" width="11" style="159" customWidth="1"/>
    <col min="3844" max="3844" width="12.28515625" style="159" customWidth="1"/>
    <col min="3845" max="3845" width="11.5703125" style="159" customWidth="1"/>
    <col min="3846" max="4096" width="9.140625" style="159"/>
    <col min="4097" max="4097" width="5.7109375" style="159" customWidth="1"/>
    <col min="4098" max="4098" width="38.140625" style="159" customWidth="1"/>
    <col min="4099" max="4099" width="11" style="159" customWidth="1"/>
    <col min="4100" max="4100" width="12.28515625" style="159" customWidth="1"/>
    <col min="4101" max="4101" width="11.5703125" style="159" customWidth="1"/>
    <col min="4102" max="4352" width="9.140625" style="159"/>
    <col min="4353" max="4353" width="5.7109375" style="159" customWidth="1"/>
    <col min="4354" max="4354" width="38.140625" style="159" customWidth="1"/>
    <col min="4355" max="4355" width="11" style="159" customWidth="1"/>
    <col min="4356" max="4356" width="12.28515625" style="159" customWidth="1"/>
    <col min="4357" max="4357" width="11.5703125" style="159" customWidth="1"/>
    <col min="4358" max="4608" width="9.140625" style="159"/>
    <col min="4609" max="4609" width="5.7109375" style="159" customWidth="1"/>
    <col min="4610" max="4610" width="38.140625" style="159" customWidth="1"/>
    <col min="4611" max="4611" width="11" style="159" customWidth="1"/>
    <col min="4612" max="4612" width="12.28515625" style="159" customWidth="1"/>
    <col min="4613" max="4613" width="11.5703125" style="159" customWidth="1"/>
    <col min="4614" max="4864" width="9.140625" style="159"/>
    <col min="4865" max="4865" width="5.7109375" style="159" customWidth="1"/>
    <col min="4866" max="4866" width="38.140625" style="159" customWidth="1"/>
    <col min="4867" max="4867" width="11" style="159" customWidth="1"/>
    <col min="4868" max="4868" width="12.28515625" style="159" customWidth="1"/>
    <col min="4869" max="4869" width="11.5703125" style="159" customWidth="1"/>
    <col min="4870" max="5120" width="9.140625" style="159"/>
    <col min="5121" max="5121" width="5.7109375" style="159" customWidth="1"/>
    <col min="5122" max="5122" width="38.140625" style="159" customWidth="1"/>
    <col min="5123" max="5123" width="11" style="159" customWidth="1"/>
    <col min="5124" max="5124" width="12.28515625" style="159" customWidth="1"/>
    <col min="5125" max="5125" width="11.5703125" style="159" customWidth="1"/>
    <col min="5126" max="5376" width="9.140625" style="159"/>
    <col min="5377" max="5377" width="5.7109375" style="159" customWidth="1"/>
    <col min="5378" max="5378" width="38.140625" style="159" customWidth="1"/>
    <col min="5379" max="5379" width="11" style="159" customWidth="1"/>
    <col min="5380" max="5380" width="12.28515625" style="159" customWidth="1"/>
    <col min="5381" max="5381" width="11.5703125" style="159" customWidth="1"/>
    <col min="5382" max="5632" width="9.140625" style="159"/>
    <col min="5633" max="5633" width="5.7109375" style="159" customWidth="1"/>
    <col min="5634" max="5634" width="38.140625" style="159" customWidth="1"/>
    <col min="5635" max="5635" width="11" style="159" customWidth="1"/>
    <col min="5636" max="5636" width="12.28515625" style="159" customWidth="1"/>
    <col min="5637" max="5637" width="11.5703125" style="159" customWidth="1"/>
    <col min="5638" max="5888" width="9.140625" style="159"/>
    <col min="5889" max="5889" width="5.7109375" style="159" customWidth="1"/>
    <col min="5890" max="5890" width="38.140625" style="159" customWidth="1"/>
    <col min="5891" max="5891" width="11" style="159" customWidth="1"/>
    <col min="5892" max="5892" width="12.28515625" style="159" customWidth="1"/>
    <col min="5893" max="5893" width="11.5703125" style="159" customWidth="1"/>
    <col min="5894" max="6144" width="9.140625" style="159"/>
    <col min="6145" max="6145" width="5.7109375" style="159" customWidth="1"/>
    <col min="6146" max="6146" width="38.140625" style="159" customWidth="1"/>
    <col min="6147" max="6147" width="11" style="159" customWidth="1"/>
    <col min="6148" max="6148" width="12.28515625" style="159" customWidth="1"/>
    <col min="6149" max="6149" width="11.5703125" style="159" customWidth="1"/>
    <col min="6150" max="6400" width="9.140625" style="159"/>
    <col min="6401" max="6401" width="5.7109375" style="159" customWidth="1"/>
    <col min="6402" max="6402" width="38.140625" style="159" customWidth="1"/>
    <col min="6403" max="6403" width="11" style="159" customWidth="1"/>
    <col min="6404" max="6404" width="12.28515625" style="159" customWidth="1"/>
    <col min="6405" max="6405" width="11.5703125" style="159" customWidth="1"/>
    <col min="6406" max="6656" width="9.140625" style="159"/>
    <col min="6657" max="6657" width="5.7109375" style="159" customWidth="1"/>
    <col min="6658" max="6658" width="38.140625" style="159" customWidth="1"/>
    <col min="6659" max="6659" width="11" style="159" customWidth="1"/>
    <col min="6660" max="6660" width="12.28515625" style="159" customWidth="1"/>
    <col min="6661" max="6661" width="11.5703125" style="159" customWidth="1"/>
    <col min="6662" max="6912" width="9.140625" style="159"/>
    <col min="6913" max="6913" width="5.7109375" style="159" customWidth="1"/>
    <col min="6914" max="6914" width="38.140625" style="159" customWidth="1"/>
    <col min="6915" max="6915" width="11" style="159" customWidth="1"/>
    <col min="6916" max="6916" width="12.28515625" style="159" customWidth="1"/>
    <col min="6917" max="6917" width="11.5703125" style="159" customWidth="1"/>
    <col min="6918" max="7168" width="9.140625" style="159"/>
    <col min="7169" max="7169" width="5.7109375" style="159" customWidth="1"/>
    <col min="7170" max="7170" width="38.140625" style="159" customWidth="1"/>
    <col min="7171" max="7171" width="11" style="159" customWidth="1"/>
    <col min="7172" max="7172" width="12.28515625" style="159" customWidth="1"/>
    <col min="7173" max="7173" width="11.5703125" style="159" customWidth="1"/>
    <col min="7174" max="7424" width="9.140625" style="159"/>
    <col min="7425" max="7425" width="5.7109375" style="159" customWidth="1"/>
    <col min="7426" max="7426" width="38.140625" style="159" customWidth="1"/>
    <col min="7427" max="7427" width="11" style="159" customWidth="1"/>
    <col min="7428" max="7428" width="12.28515625" style="159" customWidth="1"/>
    <col min="7429" max="7429" width="11.5703125" style="159" customWidth="1"/>
    <col min="7430" max="7680" width="9.140625" style="159"/>
    <col min="7681" max="7681" width="5.7109375" style="159" customWidth="1"/>
    <col min="7682" max="7682" width="38.140625" style="159" customWidth="1"/>
    <col min="7683" max="7683" width="11" style="159" customWidth="1"/>
    <col min="7684" max="7684" width="12.28515625" style="159" customWidth="1"/>
    <col min="7685" max="7685" width="11.5703125" style="159" customWidth="1"/>
    <col min="7686" max="7936" width="9.140625" style="159"/>
    <col min="7937" max="7937" width="5.7109375" style="159" customWidth="1"/>
    <col min="7938" max="7938" width="38.140625" style="159" customWidth="1"/>
    <col min="7939" max="7939" width="11" style="159" customWidth="1"/>
    <col min="7940" max="7940" width="12.28515625" style="159" customWidth="1"/>
    <col min="7941" max="7941" width="11.5703125" style="159" customWidth="1"/>
    <col min="7942" max="8192" width="9.140625" style="159"/>
    <col min="8193" max="8193" width="5.7109375" style="159" customWidth="1"/>
    <col min="8194" max="8194" width="38.140625" style="159" customWidth="1"/>
    <col min="8195" max="8195" width="11" style="159" customWidth="1"/>
    <col min="8196" max="8196" width="12.28515625" style="159" customWidth="1"/>
    <col min="8197" max="8197" width="11.5703125" style="159" customWidth="1"/>
    <col min="8198" max="8448" width="9.140625" style="159"/>
    <col min="8449" max="8449" width="5.7109375" style="159" customWidth="1"/>
    <col min="8450" max="8450" width="38.140625" style="159" customWidth="1"/>
    <col min="8451" max="8451" width="11" style="159" customWidth="1"/>
    <col min="8452" max="8452" width="12.28515625" style="159" customWidth="1"/>
    <col min="8453" max="8453" width="11.5703125" style="159" customWidth="1"/>
    <col min="8454" max="8704" width="9.140625" style="159"/>
    <col min="8705" max="8705" width="5.7109375" style="159" customWidth="1"/>
    <col min="8706" max="8706" width="38.140625" style="159" customWidth="1"/>
    <col min="8707" max="8707" width="11" style="159" customWidth="1"/>
    <col min="8708" max="8708" width="12.28515625" style="159" customWidth="1"/>
    <col min="8709" max="8709" width="11.5703125" style="159" customWidth="1"/>
    <col min="8710" max="8960" width="9.140625" style="159"/>
    <col min="8961" max="8961" width="5.7109375" style="159" customWidth="1"/>
    <col min="8962" max="8962" width="38.140625" style="159" customWidth="1"/>
    <col min="8963" max="8963" width="11" style="159" customWidth="1"/>
    <col min="8964" max="8964" width="12.28515625" style="159" customWidth="1"/>
    <col min="8965" max="8965" width="11.5703125" style="159" customWidth="1"/>
    <col min="8966" max="9216" width="9.140625" style="159"/>
    <col min="9217" max="9217" width="5.7109375" style="159" customWidth="1"/>
    <col min="9218" max="9218" width="38.140625" style="159" customWidth="1"/>
    <col min="9219" max="9219" width="11" style="159" customWidth="1"/>
    <col min="9220" max="9220" width="12.28515625" style="159" customWidth="1"/>
    <col min="9221" max="9221" width="11.5703125" style="159" customWidth="1"/>
    <col min="9222" max="9472" width="9.140625" style="159"/>
    <col min="9473" max="9473" width="5.7109375" style="159" customWidth="1"/>
    <col min="9474" max="9474" width="38.140625" style="159" customWidth="1"/>
    <col min="9475" max="9475" width="11" style="159" customWidth="1"/>
    <col min="9476" max="9476" width="12.28515625" style="159" customWidth="1"/>
    <col min="9477" max="9477" width="11.5703125" style="159" customWidth="1"/>
    <col min="9478" max="9728" width="9.140625" style="159"/>
    <col min="9729" max="9729" width="5.7109375" style="159" customWidth="1"/>
    <col min="9730" max="9730" width="38.140625" style="159" customWidth="1"/>
    <col min="9731" max="9731" width="11" style="159" customWidth="1"/>
    <col min="9732" max="9732" width="12.28515625" style="159" customWidth="1"/>
    <col min="9733" max="9733" width="11.5703125" style="159" customWidth="1"/>
    <col min="9734" max="9984" width="9.140625" style="159"/>
    <col min="9985" max="9985" width="5.7109375" style="159" customWidth="1"/>
    <col min="9986" max="9986" width="38.140625" style="159" customWidth="1"/>
    <col min="9987" max="9987" width="11" style="159" customWidth="1"/>
    <col min="9988" max="9988" width="12.28515625" style="159" customWidth="1"/>
    <col min="9989" max="9989" width="11.5703125" style="159" customWidth="1"/>
    <col min="9990" max="10240" width="9.140625" style="159"/>
    <col min="10241" max="10241" width="5.7109375" style="159" customWidth="1"/>
    <col min="10242" max="10242" width="38.140625" style="159" customWidth="1"/>
    <col min="10243" max="10243" width="11" style="159" customWidth="1"/>
    <col min="10244" max="10244" width="12.28515625" style="159" customWidth="1"/>
    <col min="10245" max="10245" width="11.5703125" style="159" customWidth="1"/>
    <col min="10246" max="10496" width="9.140625" style="159"/>
    <col min="10497" max="10497" width="5.7109375" style="159" customWidth="1"/>
    <col min="10498" max="10498" width="38.140625" style="159" customWidth="1"/>
    <col min="10499" max="10499" width="11" style="159" customWidth="1"/>
    <col min="10500" max="10500" width="12.28515625" style="159" customWidth="1"/>
    <col min="10501" max="10501" width="11.5703125" style="159" customWidth="1"/>
    <col min="10502" max="10752" width="9.140625" style="159"/>
    <col min="10753" max="10753" width="5.7109375" style="159" customWidth="1"/>
    <col min="10754" max="10754" width="38.140625" style="159" customWidth="1"/>
    <col min="10755" max="10755" width="11" style="159" customWidth="1"/>
    <col min="10756" max="10756" width="12.28515625" style="159" customWidth="1"/>
    <col min="10757" max="10757" width="11.5703125" style="159" customWidth="1"/>
    <col min="10758" max="11008" width="9.140625" style="159"/>
    <col min="11009" max="11009" width="5.7109375" style="159" customWidth="1"/>
    <col min="11010" max="11010" width="38.140625" style="159" customWidth="1"/>
    <col min="11011" max="11011" width="11" style="159" customWidth="1"/>
    <col min="11012" max="11012" width="12.28515625" style="159" customWidth="1"/>
    <col min="11013" max="11013" width="11.5703125" style="159" customWidth="1"/>
    <col min="11014" max="11264" width="9.140625" style="159"/>
    <col min="11265" max="11265" width="5.7109375" style="159" customWidth="1"/>
    <col min="11266" max="11266" width="38.140625" style="159" customWidth="1"/>
    <col min="11267" max="11267" width="11" style="159" customWidth="1"/>
    <col min="11268" max="11268" width="12.28515625" style="159" customWidth="1"/>
    <col min="11269" max="11269" width="11.5703125" style="159" customWidth="1"/>
    <col min="11270" max="11520" width="9.140625" style="159"/>
    <col min="11521" max="11521" width="5.7109375" style="159" customWidth="1"/>
    <col min="11522" max="11522" width="38.140625" style="159" customWidth="1"/>
    <col min="11523" max="11523" width="11" style="159" customWidth="1"/>
    <col min="11524" max="11524" width="12.28515625" style="159" customWidth="1"/>
    <col min="11525" max="11525" width="11.5703125" style="159" customWidth="1"/>
    <col min="11526" max="11776" width="9.140625" style="159"/>
    <col min="11777" max="11777" width="5.7109375" style="159" customWidth="1"/>
    <col min="11778" max="11778" width="38.140625" style="159" customWidth="1"/>
    <col min="11779" max="11779" width="11" style="159" customWidth="1"/>
    <col min="11780" max="11780" width="12.28515625" style="159" customWidth="1"/>
    <col min="11781" max="11781" width="11.5703125" style="159" customWidth="1"/>
    <col min="11782" max="12032" width="9.140625" style="159"/>
    <col min="12033" max="12033" width="5.7109375" style="159" customWidth="1"/>
    <col min="12034" max="12034" width="38.140625" style="159" customWidth="1"/>
    <col min="12035" max="12035" width="11" style="159" customWidth="1"/>
    <col min="12036" max="12036" width="12.28515625" style="159" customWidth="1"/>
    <col min="12037" max="12037" width="11.5703125" style="159" customWidth="1"/>
    <col min="12038" max="12288" width="9.140625" style="159"/>
    <col min="12289" max="12289" width="5.7109375" style="159" customWidth="1"/>
    <col min="12290" max="12290" width="38.140625" style="159" customWidth="1"/>
    <col min="12291" max="12291" width="11" style="159" customWidth="1"/>
    <col min="12292" max="12292" width="12.28515625" style="159" customWidth="1"/>
    <col min="12293" max="12293" width="11.5703125" style="159" customWidth="1"/>
    <col min="12294" max="12544" width="9.140625" style="159"/>
    <col min="12545" max="12545" width="5.7109375" style="159" customWidth="1"/>
    <col min="12546" max="12546" width="38.140625" style="159" customWidth="1"/>
    <col min="12547" max="12547" width="11" style="159" customWidth="1"/>
    <col min="12548" max="12548" width="12.28515625" style="159" customWidth="1"/>
    <col min="12549" max="12549" width="11.5703125" style="159" customWidth="1"/>
    <col min="12550" max="12800" width="9.140625" style="159"/>
    <col min="12801" max="12801" width="5.7109375" style="159" customWidth="1"/>
    <col min="12802" max="12802" width="38.140625" style="159" customWidth="1"/>
    <col min="12803" max="12803" width="11" style="159" customWidth="1"/>
    <col min="12804" max="12804" width="12.28515625" style="159" customWidth="1"/>
    <col min="12805" max="12805" width="11.5703125" style="159" customWidth="1"/>
    <col min="12806" max="13056" width="9.140625" style="159"/>
    <col min="13057" max="13057" width="5.7109375" style="159" customWidth="1"/>
    <col min="13058" max="13058" width="38.140625" style="159" customWidth="1"/>
    <col min="13059" max="13059" width="11" style="159" customWidth="1"/>
    <col min="13060" max="13060" width="12.28515625" style="159" customWidth="1"/>
    <col min="13061" max="13061" width="11.5703125" style="159" customWidth="1"/>
    <col min="13062" max="13312" width="9.140625" style="159"/>
    <col min="13313" max="13313" width="5.7109375" style="159" customWidth="1"/>
    <col min="13314" max="13314" width="38.140625" style="159" customWidth="1"/>
    <col min="13315" max="13315" width="11" style="159" customWidth="1"/>
    <col min="13316" max="13316" width="12.28515625" style="159" customWidth="1"/>
    <col min="13317" max="13317" width="11.5703125" style="159" customWidth="1"/>
    <col min="13318" max="13568" width="9.140625" style="159"/>
    <col min="13569" max="13569" width="5.7109375" style="159" customWidth="1"/>
    <col min="13570" max="13570" width="38.140625" style="159" customWidth="1"/>
    <col min="13571" max="13571" width="11" style="159" customWidth="1"/>
    <col min="13572" max="13572" width="12.28515625" style="159" customWidth="1"/>
    <col min="13573" max="13573" width="11.5703125" style="159" customWidth="1"/>
    <col min="13574" max="13824" width="9.140625" style="159"/>
    <col min="13825" max="13825" width="5.7109375" style="159" customWidth="1"/>
    <col min="13826" max="13826" width="38.140625" style="159" customWidth="1"/>
    <col min="13827" max="13827" width="11" style="159" customWidth="1"/>
    <col min="13828" max="13828" width="12.28515625" style="159" customWidth="1"/>
    <col min="13829" max="13829" width="11.5703125" style="159" customWidth="1"/>
    <col min="13830" max="14080" width="9.140625" style="159"/>
    <col min="14081" max="14081" width="5.7109375" style="159" customWidth="1"/>
    <col min="14082" max="14082" width="38.140625" style="159" customWidth="1"/>
    <col min="14083" max="14083" width="11" style="159" customWidth="1"/>
    <col min="14084" max="14084" width="12.28515625" style="159" customWidth="1"/>
    <col min="14085" max="14085" width="11.5703125" style="159" customWidth="1"/>
    <col min="14086" max="14336" width="9.140625" style="159"/>
    <col min="14337" max="14337" width="5.7109375" style="159" customWidth="1"/>
    <col min="14338" max="14338" width="38.140625" style="159" customWidth="1"/>
    <col min="14339" max="14339" width="11" style="159" customWidth="1"/>
    <col min="14340" max="14340" width="12.28515625" style="159" customWidth="1"/>
    <col min="14341" max="14341" width="11.5703125" style="159" customWidth="1"/>
    <col min="14342" max="14592" width="9.140625" style="159"/>
    <col min="14593" max="14593" width="5.7109375" style="159" customWidth="1"/>
    <col min="14594" max="14594" width="38.140625" style="159" customWidth="1"/>
    <col min="14595" max="14595" width="11" style="159" customWidth="1"/>
    <col min="14596" max="14596" width="12.28515625" style="159" customWidth="1"/>
    <col min="14597" max="14597" width="11.5703125" style="159" customWidth="1"/>
    <col min="14598" max="14848" width="9.140625" style="159"/>
    <col min="14849" max="14849" width="5.7109375" style="159" customWidth="1"/>
    <col min="14850" max="14850" width="38.140625" style="159" customWidth="1"/>
    <col min="14851" max="14851" width="11" style="159" customWidth="1"/>
    <col min="14852" max="14852" width="12.28515625" style="159" customWidth="1"/>
    <col min="14853" max="14853" width="11.5703125" style="159" customWidth="1"/>
    <col min="14854" max="15104" width="9.140625" style="159"/>
    <col min="15105" max="15105" width="5.7109375" style="159" customWidth="1"/>
    <col min="15106" max="15106" width="38.140625" style="159" customWidth="1"/>
    <col min="15107" max="15107" width="11" style="159" customWidth="1"/>
    <col min="15108" max="15108" width="12.28515625" style="159" customWidth="1"/>
    <col min="15109" max="15109" width="11.5703125" style="159" customWidth="1"/>
    <col min="15110" max="15360" width="9.140625" style="159"/>
    <col min="15361" max="15361" width="5.7109375" style="159" customWidth="1"/>
    <col min="15362" max="15362" width="38.140625" style="159" customWidth="1"/>
    <col min="15363" max="15363" width="11" style="159" customWidth="1"/>
    <col min="15364" max="15364" width="12.28515625" style="159" customWidth="1"/>
    <col min="15365" max="15365" width="11.5703125" style="159" customWidth="1"/>
    <col min="15366" max="15616" width="9.140625" style="159"/>
    <col min="15617" max="15617" width="5.7109375" style="159" customWidth="1"/>
    <col min="15618" max="15618" width="38.140625" style="159" customWidth="1"/>
    <col min="15619" max="15619" width="11" style="159" customWidth="1"/>
    <col min="15620" max="15620" width="12.28515625" style="159" customWidth="1"/>
    <col min="15621" max="15621" width="11.5703125" style="159" customWidth="1"/>
    <col min="15622" max="15872" width="9.140625" style="159"/>
    <col min="15873" max="15873" width="5.7109375" style="159" customWidth="1"/>
    <col min="15874" max="15874" width="38.140625" style="159" customWidth="1"/>
    <col min="15875" max="15875" width="11" style="159" customWidth="1"/>
    <col min="15876" max="15876" width="12.28515625" style="159" customWidth="1"/>
    <col min="15877" max="15877" width="11.5703125" style="159" customWidth="1"/>
    <col min="15878" max="16128" width="9.140625" style="159"/>
    <col min="16129" max="16129" width="5.7109375" style="159" customWidth="1"/>
    <col min="16130" max="16130" width="38.140625" style="159" customWidth="1"/>
    <col min="16131" max="16131" width="11" style="159" customWidth="1"/>
    <col min="16132" max="16132" width="12.28515625" style="159" customWidth="1"/>
    <col min="16133" max="16133" width="11.5703125" style="159" customWidth="1"/>
    <col min="16134" max="16384" width="9.140625" style="159"/>
  </cols>
  <sheetData>
    <row r="1" spans="1:5" x14ac:dyDescent="0.25">
      <c r="A1" s="492" t="s">
        <v>348</v>
      </c>
      <c r="B1" s="492"/>
      <c r="C1" s="492"/>
      <c r="D1" s="492"/>
      <c r="E1" s="492"/>
    </row>
    <row r="2" spans="1:5" ht="83.25" customHeight="1" x14ac:dyDescent="0.25">
      <c r="A2" s="493" t="s">
        <v>446</v>
      </c>
      <c r="B2" s="493"/>
      <c r="C2" s="493"/>
      <c r="D2" s="493"/>
      <c r="E2" s="493"/>
    </row>
    <row r="3" spans="1:5" x14ac:dyDescent="0.25">
      <c r="A3" s="494" t="s">
        <v>51</v>
      </c>
      <c r="B3" s="495" t="s">
        <v>52</v>
      </c>
      <c r="C3" s="455" t="s">
        <v>2</v>
      </c>
      <c r="D3" s="455"/>
      <c r="E3" s="455"/>
    </row>
    <row r="4" spans="1:5" x14ac:dyDescent="0.25">
      <c r="A4" s="494"/>
      <c r="B4" s="495"/>
      <c r="C4" s="497" t="s">
        <v>3</v>
      </c>
      <c r="D4" s="458" t="s">
        <v>4</v>
      </c>
      <c r="E4" s="454"/>
    </row>
    <row r="5" spans="1:5" x14ac:dyDescent="0.25">
      <c r="A5" s="494" t="s">
        <v>51</v>
      </c>
      <c r="B5" s="496" t="s">
        <v>52</v>
      </c>
      <c r="C5" s="498"/>
      <c r="D5" s="305" t="s">
        <v>5</v>
      </c>
      <c r="E5" s="306" t="s">
        <v>6</v>
      </c>
    </row>
    <row r="6" spans="1:5" x14ac:dyDescent="0.25">
      <c r="A6" s="307" t="s">
        <v>53</v>
      </c>
      <c r="B6" s="307" t="s">
        <v>54</v>
      </c>
      <c r="C6" s="308" t="s">
        <v>55</v>
      </c>
      <c r="D6" s="309">
        <v>4</v>
      </c>
      <c r="E6" s="306">
        <v>5</v>
      </c>
    </row>
    <row r="7" spans="1:5" x14ac:dyDescent="0.3">
      <c r="A7" s="162" t="s">
        <v>53</v>
      </c>
      <c r="B7" s="310" t="s">
        <v>34</v>
      </c>
      <c r="C7" s="311">
        <v>1546.9</v>
      </c>
      <c r="D7" s="311">
        <v>1608.7</v>
      </c>
      <c r="E7" s="311">
        <v>1677.9</v>
      </c>
    </row>
    <row r="8" spans="1:5" x14ac:dyDescent="0.25">
      <c r="A8" s="162" t="s">
        <v>54</v>
      </c>
      <c r="B8" s="199" t="s">
        <v>336</v>
      </c>
      <c r="C8" s="311">
        <v>5137.2</v>
      </c>
      <c r="D8" s="311">
        <v>5342.8</v>
      </c>
      <c r="E8" s="311">
        <v>5572.5</v>
      </c>
    </row>
    <row r="9" spans="1:5" x14ac:dyDescent="0.25">
      <c r="A9" s="195" t="s">
        <v>58</v>
      </c>
      <c r="B9" s="196" t="s">
        <v>49</v>
      </c>
      <c r="C9" s="312">
        <f>SUM(C7:C8)</f>
        <v>6684.1</v>
      </c>
      <c r="D9" s="312">
        <f>SUM(D7:D8)</f>
        <v>6951.5</v>
      </c>
      <c r="E9" s="312">
        <f>SUM(E7:E8)</f>
        <v>7250.4</v>
      </c>
    </row>
    <row r="18" spans="17:17" x14ac:dyDescent="0.25">
      <c r="Q18" s="216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6"/>
  <sheetViews>
    <sheetView view="pageBreakPreview" zoomScaleNormal="100" zoomScaleSheetLayoutView="100" workbookViewId="0">
      <selection activeCell="G19" sqref="G19"/>
    </sheetView>
  </sheetViews>
  <sheetFormatPr defaultRowHeight="18.75" x14ac:dyDescent="0.3"/>
  <cols>
    <col min="1" max="1" width="9.140625" style="147"/>
    <col min="2" max="2" width="44.85546875" style="147" customWidth="1"/>
    <col min="3" max="3" width="16.7109375" style="147" bestFit="1" customWidth="1"/>
    <col min="4" max="4" width="16.28515625" style="147" bestFit="1" customWidth="1"/>
    <col min="5" max="5" width="16.7109375" style="147" bestFit="1" customWidth="1"/>
    <col min="6" max="16384" width="9.140625" style="147"/>
  </cols>
  <sheetData>
    <row r="1" spans="1:17" x14ac:dyDescent="0.3">
      <c r="A1" s="499" t="s">
        <v>388</v>
      </c>
      <c r="B1" s="499"/>
      <c r="C1" s="499"/>
      <c r="D1" s="499"/>
      <c r="E1" s="499"/>
      <c r="F1" s="146"/>
      <c r="G1" s="146"/>
    </row>
    <row r="2" spans="1:17" ht="129" customHeight="1" x14ac:dyDescent="0.3">
      <c r="A2" s="451" t="s">
        <v>461</v>
      </c>
      <c r="B2" s="451"/>
      <c r="C2" s="451"/>
      <c r="D2" s="451"/>
      <c r="E2" s="451"/>
    </row>
    <row r="3" spans="1:17" x14ac:dyDescent="0.3">
      <c r="A3" s="452" t="s">
        <v>62</v>
      </c>
      <c r="B3" s="453" t="s">
        <v>63</v>
      </c>
      <c r="C3" s="453" t="s">
        <v>2</v>
      </c>
      <c r="D3" s="453"/>
      <c r="E3" s="453"/>
    </row>
    <row r="4" spans="1:17" x14ac:dyDescent="0.3">
      <c r="A4" s="452"/>
      <c r="B4" s="453"/>
      <c r="C4" s="453" t="s">
        <v>3</v>
      </c>
      <c r="D4" s="453" t="s">
        <v>4</v>
      </c>
      <c r="E4" s="453"/>
    </row>
    <row r="5" spans="1:17" x14ac:dyDescent="0.3">
      <c r="A5" s="452"/>
      <c r="B5" s="453"/>
      <c r="C5" s="453"/>
      <c r="D5" s="112" t="s">
        <v>5</v>
      </c>
      <c r="E5" s="112" t="s">
        <v>64</v>
      </c>
    </row>
    <row r="6" spans="1:17" x14ac:dyDescent="0.3">
      <c r="A6" s="6">
        <v>1</v>
      </c>
      <c r="B6" s="7">
        <v>2</v>
      </c>
      <c r="C6" s="8">
        <v>3</v>
      </c>
      <c r="D6" s="112">
        <v>4</v>
      </c>
      <c r="E6" s="112">
        <v>5</v>
      </c>
    </row>
    <row r="7" spans="1:17" x14ac:dyDescent="0.3">
      <c r="A7" s="10">
        <v>1</v>
      </c>
      <c r="B7" s="413" t="s">
        <v>410</v>
      </c>
      <c r="C7" s="414">
        <v>63166.400000000001</v>
      </c>
      <c r="D7" s="415">
        <v>62942.6</v>
      </c>
      <c r="E7" s="416">
        <v>82261</v>
      </c>
    </row>
    <row r="8" spans="1:17" x14ac:dyDescent="0.3">
      <c r="A8" s="10">
        <v>2</v>
      </c>
      <c r="B8" s="11" t="s">
        <v>9</v>
      </c>
      <c r="C8" s="414">
        <v>396622</v>
      </c>
      <c r="D8" s="415">
        <v>530616</v>
      </c>
      <c r="E8" s="415">
        <v>550000</v>
      </c>
    </row>
    <row r="9" spans="1:17" x14ac:dyDescent="0.3">
      <c r="A9" s="12"/>
      <c r="B9" s="13" t="s">
        <v>65</v>
      </c>
      <c r="C9" s="417">
        <f>C8+C7</f>
        <v>459788.4</v>
      </c>
      <c r="D9" s="417">
        <f>D8+D7</f>
        <v>593558.6</v>
      </c>
      <c r="E9" s="417">
        <f>E8+E7</f>
        <v>632261</v>
      </c>
    </row>
    <row r="16" spans="1:17" x14ac:dyDescent="0.3">
      <c r="Q16" s="21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69"/>
  <sheetViews>
    <sheetView view="pageBreakPreview" zoomScaleNormal="100" zoomScaleSheetLayoutView="100" workbookViewId="0">
      <pane xSplit="2" ySplit="5" topLeftCell="C6" activePane="bottomRight" state="frozen"/>
      <selection activeCell="I11" sqref="I11"/>
      <selection pane="topRight" activeCell="I11" sqref="I11"/>
      <selection pane="bottomLeft" activeCell="I11" sqref="I11"/>
      <selection pane="bottomRight" activeCell="B3" sqref="B3:B5"/>
    </sheetView>
  </sheetViews>
  <sheetFormatPr defaultRowHeight="18" x14ac:dyDescent="0.25"/>
  <cols>
    <col min="1" max="1" width="7.140625" style="61" customWidth="1"/>
    <col min="2" max="2" width="56.85546875" style="61" customWidth="1"/>
    <col min="3" max="3" width="17.42578125" style="61" customWidth="1"/>
    <col min="4" max="4" width="18.42578125" style="61" customWidth="1"/>
    <col min="5" max="5" width="17.5703125" style="61" customWidth="1"/>
    <col min="6" max="256" width="9.140625" style="61"/>
    <col min="257" max="257" width="7.140625" style="61" customWidth="1"/>
    <col min="258" max="258" width="45.85546875" style="61" customWidth="1"/>
    <col min="259" max="259" width="16.28515625" style="61" customWidth="1"/>
    <col min="260" max="260" width="17" style="61" customWidth="1"/>
    <col min="261" max="261" width="17.5703125" style="61" customWidth="1"/>
    <col min="262" max="512" width="9.140625" style="61"/>
    <col min="513" max="513" width="7.140625" style="61" customWidth="1"/>
    <col min="514" max="514" width="45.85546875" style="61" customWidth="1"/>
    <col min="515" max="515" width="16.28515625" style="61" customWidth="1"/>
    <col min="516" max="516" width="17" style="61" customWidth="1"/>
    <col min="517" max="517" width="17.5703125" style="61" customWidth="1"/>
    <col min="518" max="768" width="9.140625" style="61"/>
    <col min="769" max="769" width="7.140625" style="61" customWidth="1"/>
    <col min="770" max="770" width="45.85546875" style="61" customWidth="1"/>
    <col min="771" max="771" width="16.28515625" style="61" customWidth="1"/>
    <col min="772" max="772" width="17" style="61" customWidth="1"/>
    <col min="773" max="773" width="17.5703125" style="61" customWidth="1"/>
    <col min="774" max="1024" width="9.140625" style="61"/>
    <col min="1025" max="1025" width="7.140625" style="61" customWidth="1"/>
    <col min="1026" max="1026" width="45.85546875" style="61" customWidth="1"/>
    <col min="1027" max="1027" width="16.28515625" style="61" customWidth="1"/>
    <col min="1028" max="1028" width="17" style="61" customWidth="1"/>
    <col min="1029" max="1029" width="17.5703125" style="61" customWidth="1"/>
    <col min="1030" max="1280" width="9.140625" style="61"/>
    <col min="1281" max="1281" width="7.140625" style="61" customWidth="1"/>
    <col min="1282" max="1282" width="45.85546875" style="61" customWidth="1"/>
    <col min="1283" max="1283" width="16.28515625" style="61" customWidth="1"/>
    <col min="1284" max="1284" width="17" style="61" customWidth="1"/>
    <col min="1285" max="1285" width="17.5703125" style="61" customWidth="1"/>
    <col min="1286" max="1536" width="9.140625" style="61"/>
    <col min="1537" max="1537" width="7.140625" style="61" customWidth="1"/>
    <col min="1538" max="1538" width="45.85546875" style="61" customWidth="1"/>
    <col min="1539" max="1539" width="16.28515625" style="61" customWidth="1"/>
    <col min="1540" max="1540" width="17" style="61" customWidth="1"/>
    <col min="1541" max="1541" width="17.5703125" style="61" customWidth="1"/>
    <col min="1542" max="1792" width="9.140625" style="61"/>
    <col min="1793" max="1793" width="7.140625" style="61" customWidth="1"/>
    <col min="1794" max="1794" width="45.85546875" style="61" customWidth="1"/>
    <col min="1795" max="1795" width="16.28515625" style="61" customWidth="1"/>
    <col min="1796" max="1796" width="17" style="61" customWidth="1"/>
    <col min="1797" max="1797" width="17.5703125" style="61" customWidth="1"/>
    <col min="1798" max="2048" width="9.140625" style="61"/>
    <col min="2049" max="2049" width="7.140625" style="61" customWidth="1"/>
    <col min="2050" max="2050" width="45.85546875" style="61" customWidth="1"/>
    <col min="2051" max="2051" width="16.28515625" style="61" customWidth="1"/>
    <col min="2052" max="2052" width="17" style="61" customWidth="1"/>
    <col min="2053" max="2053" width="17.5703125" style="61" customWidth="1"/>
    <col min="2054" max="2304" width="9.140625" style="61"/>
    <col min="2305" max="2305" width="7.140625" style="61" customWidth="1"/>
    <col min="2306" max="2306" width="45.85546875" style="61" customWidth="1"/>
    <col min="2307" max="2307" width="16.28515625" style="61" customWidth="1"/>
    <col min="2308" max="2308" width="17" style="61" customWidth="1"/>
    <col min="2309" max="2309" width="17.5703125" style="61" customWidth="1"/>
    <col min="2310" max="2560" width="9.140625" style="61"/>
    <col min="2561" max="2561" width="7.140625" style="61" customWidth="1"/>
    <col min="2562" max="2562" width="45.85546875" style="61" customWidth="1"/>
    <col min="2563" max="2563" width="16.28515625" style="61" customWidth="1"/>
    <col min="2564" max="2564" width="17" style="61" customWidth="1"/>
    <col min="2565" max="2565" width="17.5703125" style="61" customWidth="1"/>
    <col min="2566" max="2816" width="9.140625" style="61"/>
    <col min="2817" max="2817" width="7.140625" style="61" customWidth="1"/>
    <col min="2818" max="2818" width="45.85546875" style="61" customWidth="1"/>
    <col min="2819" max="2819" width="16.28515625" style="61" customWidth="1"/>
    <col min="2820" max="2820" width="17" style="61" customWidth="1"/>
    <col min="2821" max="2821" width="17.5703125" style="61" customWidth="1"/>
    <col min="2822" max="3072" width="9.140625" style="61"/>
    <col min="3073" max="3073" width="7.140625" style="61" customWidth="1"/>
    <col min="3074" max="3074" width="45.85546875" style="61" customWidth="1"/>
    <col min="3075" max="3075" width="16.28515625" style="61" customWidth="1"/>
    <col min="3076" max="3076" width="17" style="61" customWidth="1"/>
    <col min="3077" max="3077" width="17.5703125" style="61" customWidth="1"/>
    <col min="3078" max="3328" width="9.140625" style="61"/>
    <col min="3329" max="3329" width="7.140625" style="61" customWidth="1"/>
    <col min="3330" max="3330" width="45.85546875" style="61" customWidth="1"/>
    <col min="3331" max="3331" width="16.28515625" style="61" customWidth="1"/>
    <col min="3332" max="3332" width="17" style="61" customWidth="1"/>
    <col min="3333" max="3333" width="17.5703125" style="61" customWidth="1"/>
    <col min="3334" max="3584" width="9.140625" style="61"/>
    <col min="3585" max="3585" width="7.140625" style="61" customWidth="1"/>
    <col min="3586" max="3586" width="45.85546875" style="61" customWidth="1"/>
    <col min="3587" max="3587" width="16.28515625" style="61" customWidth="1"/>
    <col min="3588" max="3588" width="17" style="61" customWidth="1"/>
    <col min="3589" max="3589" width="17.5703125" style="61" customWidth="1"/>
    <col min="3590" max="3840" width="9.140625" style="61"/>
    <col min="3841" max="3841" width="7.140625" style="61" customWidth="1"/>
    <col min="3842" max="3842" width="45.85546875" style="61" customWidth="1"/>
    <col min="3843" max="3843" width="16.28515625" style="61" customWidth="1"/>
    <col min="3844" max="3844" width="17" style="61" customWidth="1"/>
    <col min="3845" max="3845" width="17.5703125" style="61" customWidth="1"/>
    <col min="3846" max="4096" width="9.140625" style="61"/>
    <col min="4097" max="4097" width="7.140625" style="61" customWidth="1"/>
    <col min="4098" max="4098" width="45.85546875" style="61" customWidth="1"/>
    <col min="4099" max="4099" width="16.28515625" style="61" customWidth="1"/>
    <col min="4100" max="4100" width="17" style="61" customWidth="1"/>
    <col min="4101" max="4101" width="17.5703125" style="61" customWidth="1"/>
    <col min="4102" max="4352" width="9.140625" style="61"/>
    <col min="4353" max="4353" width="7.140625" style="61" customWidth="1"/>
    <col min="4354" max="4354" width="45.85546875" style="61" customWidth="1"/>
    <col min="4355" max="4355" width="16.28515625" style="61" customWidth="1"/>
    <col min="4356" max="4356" width="17" style="61" customWidth="1"/>
    <col min="4357" max="4357" width="17.5703125" style="61" customWidth="1"/>
    <col min="4358" max="4608" width="9.140625" style="61"/>
    <col min="4609" max="4609" width="7.140625" style="61" customWidth="1"/>
    <col min="4610" max="4610" width="45.85546875" style="61" customWidth="1"/>
    <col min="4611" max="4611" width="16.28515625" style="61" customWidth="1"/>
    <col min="4612" max="4612" width="17" style="61" customWidth="1"/>
    <col min="4613" max="4613" width="17.5703125" style="61" customWidth="1"/>
    <col min="4614" max="4864" width="9.140625" style="61"/>
    <col min="4865" max="4865" width="7.140625" style="61" customWidth="1"/>
    <col min="4866" max="4866" width="45.85546875" style="61" customWidth="1"/>
    <col min="4867" max="4867" width="16.28515625" style="61" customWidth="1"/>
    <col min="4868" max="4868" width="17" style="61" customWidth="1"/>
    <col min="4869" max="4869" width="17.5703125" style="61" customWidth="1"/>
    <col min="4870" max="5120" width="9.140625" style="61"/>
    <col min="5121" max="5121" width="7.140625" style="61" customWidth="1"/>
    <col min="5122" max="5122" width="45.85546875" style="61" customWidth="1"/>
    <col min="5123" max="5123" width="16.28515625" style="61" customWidth="1"/>
    <col min="5124" max="5124" width="17" style="61" customWidth="1"/>
    <col min="5125" max="5125" width="17.5703125" style="61" customWidth="1"/>
    <col min="5126" max="5376" width="9.140625" style="61"/>
    <col min="5377" max="5377" width="7.140625" style="61" customWidth="1"/>
    <col min="5378" max="5378" width="45.85546875" style="61" customWidth="1"/>
    <col min="5379" max="5379" width="16.28515625" style="61" customWidth="1"/>
    <col min="5380" max="5380" width="17" style="61" customWidth="1"/>
    <col min="5381" max="5381" width="17.5703125" style="61" customWidth="1"/>
    <col min="5382" max="5632" width="9.140625" style="61"/>
    <col min="5633" max="5633" width="7.140625" style="61" customWidth="1"/>
    <col min="5634" max="5634" width="45.85546875" style="61" customWidth="1"/>
    <col min="5635" max="5635" width="16.28515625" style="61" customWidth="1"/>
    <col min="5636" max="5636" width="17" style="61" customWidth="1"/>
    <col min="5637" max="5637" width="17.5703125" style="61" customWidth="1"/>
    <col min="5638" max="5888" width="9.140625" style="61"/>
    <col min="5889" max="5889" width="7.140625" style="61" customWidth="1"/>
    <col min="5890" max="5890" width="45.85546875" style="61" customWidth="1"/>
    <col min="5891" max="5891" width="16.28515625" style="61" customWidth="1"/>
    <col min="5892" max="5892" width="17" style="61" customWidth="1"/>
    <col min="5893" max="5893" width="17.5703125" style="61" customWidth="1"/>
    <col min="5894" max="6144" width="9.140625" style="61"/>
    <col min="6145" max="6145" width="7.140625" style="61" customWidth="1"/>
    <col min="6146" max="6146" width="45.85546875" style="61" customWidth="1"/>
    <col min="6147" max="6147" width="16.28515625" style="61" customWidth="1"/>
    <col min="6148" max="6148" width="17" style="61" customWidth="1"/>
    <col min="6149" max="6149" width="17.5703125" style="61" customWidth="1"/>
    <col min="6150" max="6400" width="9.140625" style="61"/>
    <col min="6401" max="6401" width="7.140625" style="61" customWidth="1"/>
    <col min="6402" max="6402" width="45.85546875" style="61" customWidth="1"/>
    <col min="6403" max="6403" width="16.28515625" style="61" customWidth="1"/>
    <col min="6404" max="6404" width="17" style="61" customWidth="1"/>
    <col min="6405" max="6405" width="17.5703125" style="61" customWidth="1"/>
    <col min="6406" max="6656" width="9.140625" style="61"/>
    <col min="6657" max="6657" width="7.140625" style="61" customWidth="1"/>
    <col min="6658" max="6658" width="45.85546875" style="61" customWidth="1"/>
    <col min="6659" max="6659" width="16.28515625" style="61" customWidth="1"/>
    <col min="6660" max="6660" width="17" style="61" customWidth="1"/>
    <col min="6661" max="6661" width="17.5703125" style="61" customWidth="1"/>
    <col min="6662" max="6912" width="9.140625" style="61"/>
    <col min="6913" max="6913" width="7.140625" style="61" customWidth="1"/>
    <col min="6914" max="6914" width="45.85546875" style="61" customWidth="1"/>
    <col min="6915" max="6915" width="16.28515625" style="61" customWidth="1"/>
    <col min="6916" max="6916" width="17" style="61" customWidth="1"/>
    <col min="6917" max="6917" width="17.5703125" style="61" customWidth="1"/>
    <col min="6918" max="7168" width="9.140625" style="61"/>
    <col min="7169" max="7169" width="7.140625" style="61" customWidth="1"/>
    <col min="7170" max="7170" width="45.85546875" style="61" customWidth="1"/>
    <col min="7171" max="7171" width="16.28515625" style="61" customWidth="1"/>
    <col min="7172" max="7172" width="17" style="61" customWidth="1"/>
    <col min="7173" max="7173" width="17.5703125" style="61" customWidth="1"/>
    <col min="7174" max="7424" width="9.140625" style="61"/>
    <col min="7425" max="7425" width="7.140625" style="61" customWidth="1"/>
    <col min="7426" max="7426" width="45.85546875" style="61" customWidth="1"/>
    <col min="7427" max="7427" width="16.28515625" style="61" customWidth="1"/>
    <col min="7428" max="7428" width="17" style="61" customWidth="1"/>
    <col min="7429" max="7429" width="17.5703125" style="61" customWidth="1"/>
    <col min="7430" max="7680" width="9.140625" style="61"/>
    <col min="7681" max="7681" width="7.140625" style="61" customWidth="1"/>
    <col min="7682" max="7682" width="45.85546875" style="61" customWidth="1"/>
    <col min="7683" max="7683" width="16.28515625" style="61" customWidth="1"/>
    <col min="7684" max="7684" width="17" style="61" customWidth="1"/>
    <col min="7685" max="7685" width="17.5703125" style="61" customWidth="1"/>
    <col min="7686" max="7936" width="9.140625" style="61"/>
    <col min="7937" max="7937" width="7.140625" style="61" customWidth="1"/>
    <col min="7938" max="7938" width="45.85546875" style="61" customWidth="1"/>
    <col min="7939" max="7939" width="16.28515625" style="61" customWidth="1"/>
    <col min="7940" max="7940" width="17" style="61" customWidth="1"/>
    <col min="7941" max="7941" width="17.5703125" style="61" customWidth="1"/>
    <col min="7942" max="8192" width="9.140625" style="61"/>
    <col min="8193" max="8193" width="7.140625" style="61" customWidth="1"/>
    <col min="8194" max="8194" width="45.85546875" style="61" customWidth="1"/>
    <col min="8195" max="8195" width="16.28515625" style="61" customWidth="1"/>
    <col min="8196" max="8196" width="17" style="61" customWidth="1"/>
    <col min="8197" max="8197" width="17.5703125" style="61" customWidth="1"/>
    <col min="8198" max="8448" width="9.140625" style="61"/>
    <col min="8449" max="8449" width="7.140625" style="61" customWidth="1"/>
    <col min="8450" max="8450" width="45.85546875" style="61" customWidth="1"/>
    <col min="8451" max="8451" width="16.28515625" style="61" customWidth="1"/>
    <col min="8452" max="8452" width="17" style="61" customWidth="1"/>
    <col min="8453" max="8453" width="17.5703125" style="61" customWidth="1"/>
    <col min="8454" max="8704" width="9.140625" style="61"/>
    <col min="8705" max="8705" width="7.140625" style="61" customWidth="1"/>
    <col min="8706" max="8706" width="45.85546875" style="61" customWidth="1"/>
    <col min="8707" max="8707" width="16.28515625" style="61" customWidth="1"/>
    <col min="8708" max="8708" width="17" style="61" customWidth="1"/>
    <col min="8709" max="8709" width="17.5703125" style="61" customWidth="1"/>
    <col min="8710" max="8960" width="9.140625" style="61"/>
    <col min="8961" max="8961" width="7.140625" style="61" customWidth="1"/>
    <col min="8962" max="8962" width="45.85546875" style="61" customWidth="1"/>
    <col min="8963" max="8963" width="16.28515625" style="61" customWidth="1"/>
    <col min="8964" max="8964" width="17" style="61" customWidth="1"/>
    <col min="8965" max="8965" width="17.5703125" style="61" customWidth="1"/>
    <col min="8966" max="9216" width="9.140625" style="61"/>
    <col min="9217" max="9217" width="7.140625" style="61" customWidth="1"/>
    <col min="9218" max="9218" width="45.85546875" style="61" customWidth="1"/>
    <col min="9219" max="9219" width="16.28515625" style="61" customWidth="1"/>
    <col min="9220" max="9220" width="17" style="61" customWidth="1"/>
    <col min="9221" max="9221" width="17.5703125" style="61" customWidth="1"/>
    <col min="9222" max="9472" width="9.140625" style="61"/>
    <col min="9473" max="9473" width="7.140625" style="61" customWidth="1"/>
    <col min="9474" max="9474" width="45.85546875" style="61" customWidth="1"/>
    <col min="9475" max="9475" width="16.28515625" style="61" customWidth="1"/>
    <col min="9476" max="9476" width="17" style="61" customWidth="1"/>
    <col min="9477" max="9477" width="17.5703125" style="61" customWidth="1"/>
    <col min="9478" max="9728" width="9.140625" style="61"/>
    <col min="9729" max="9729" width="7.140625" style="61" customWidth="1"/>
    <col min="9730" max="9730" width="45.85546875" style="61" customWidth="1"/>
    <col min="9731" max="9731" width="16.28515625" style="61" customWidth="1"/>
    <col min="9732" max="9732" width="17" style="61" customWidth="1"/>
    <col min="9733" max="9733" width="17.5703125" style="61" customWidth="1"/>
    <col min="9734" max="9984" width="9.140625" style="61"/>
    <col min="9985" max="9985" width="7.140625" style="61" customWidth="1"/>
    <col min="9986" max="9986" width="45.85546875" style="61" customWidth="1"/>
    <col min="9987" max="9987" width="16.28515625" style="61" customWidth="1"/>
    <col min="9988" max="9988" width="17" style="61" customWidth="1"/>
    <col min="9989" max="9989" width="17.5703125" style="61" customWidth="1"/>
    <col min="9990" max="10240" width="9.140625" style="61"/>
    <col min="10241" max="10241" width="7.140625" style="61" customWidth="1"/>
    <col min="10242" max="10242" width="45.85546875" style="61" customWidth="1"/>
    <col min="10243" max="10243" width="16.28515625" style="61" customWidth="1"/>
    <col min="10244" max="10244" width="17" style="61" customWidth="1"/>
    <col min="10245" max="10245" width="17.5703125" style="61" customWidth="1"/>
    <col min="10246" max="10496" width="9.140625" style="61"/>
    <col min="10497" max="10497" width="7.140625" style="61" customWidth="1"/>
    <col min="10498" max="10498" width="45.85546875" style="61" customWidth="1"/>
    <col min="10499" max="10499" width="16.28515625" style="61" customWidth="1"/>
    <col min="10500" max="10500" width="17" style="61" customWidth="1"/>
    <col min="10501" max="10501" width="17.5703125" style="61" customWidth="1"/>
    <col min="10502" max="10752" width="9.140625" style="61"/>
    <col min="10753" max="10753" width="7.140625" style="61" customWidth="1"/>
    <col min="10754" max="10754" width="45.85546875" style="61" customWidth="1"/>
    <col min="10755" max="10755" width="16.28515625" style="61" customWidth="1"/>
    <col min="10756" max="10756" width="17" style="61" customWidth="1"/>
    <col min="10757" max="10757" width="17.5703125" style="61" customWidth="1"/>
    <col min="10758" max="11008" width="9.140625" style="61"/>
    <col min="11009" max="11009" width="7.140625" style="61" customWidth="1"/>
    <col min="11010" max="11010" width="45.85546875" style="61" customWidth="1"/>
    <col min="11011" max="11011" width="16.28515625" style="61" customWidth="1"/>
    <col min="11012" max="11012" width="17" style="61" customWidth="1"/>
    <col min="11013" max="11013" width="17.5703125" style="61" customWidth="1"/>
    <col min="11014" max="11264" width="9.140625" style="61"/>
    <col min="11265" max="11265" width="7.140625" style="61" customWidth="1"/>
    <col min="11266" max="11266" width="45.85546875" style="61" customWidth="1"/>
    <col min="11267" max="11267" width="16.28515625" style="61" customWidth="1"/>
    <col min="11268" max="11268" width="17" style="61" customWidth="1"/>
    <col min="11269" max="11269" width="17.5703125" style="61" customWidth="1"/>
    <col min="11270" max="11520" width="9.140625" style="61"/>
    <col min="11521" max="11521" width="7.140625" style="61" customWidth="1"/>
    <col min="11522" max="11522" width="45.85546875" style="61" customWidth="1"/>
    <col min="11523" max="11523" width="16.28515625" style="61" customWidth="1"/>
    <col min="11524" max="11524" width="17" style="61" customWidth="1"/>
    <col min="11525" max="11525" width="17.5703125" style="61" customWidth="1"/>
    <col min="11526" max="11776" width="9.140625" style="61"/>
    <col min="11777" max="11777" width="7.140625" style="61" customWidth="1"/>
    <col min="11778" max="11778" width="45.85546875" style="61" customWidth="1"/>
    <col min="11779" max="11779" width="16.28515625" style="61" customWidth="1"/>
    <col min="11780" max="11780" width="17" style="61" customWidth="1"/>
    <col min="11781" max="11781" width="17.5703125" style="61" customWidth="1"/>
    <col min="11782" max="12032" width="9.140625" style="61"/>
    <col min="12033" max="12033" width="7.140625" style="61" customWidth="1"/>
    <col min="12034" max="12034" width="45.85546875" style="61" customWidth="1"/>
    <col min="12035" max="12035" width="16.28515625" style="61" customWidth="1"/>
    <col min="12036" max="12036" width="17" style="61" customWidth="1"/>
    <col min="12037" max="12037" width="17.5703125" style="61" customWidth="1"/>
    <col min="12038" max="12288" width="9.140625" style="61"/>
    <col min="12289" max="12289" width="7.140625" style="61" customWidth="1"/>
    <col min="12290" max="12290" width="45.85546875" style="61" customWidth="1"/>
    <col min="12291" max="12291" width="16.28515625" style="61" customWidth="1"/>
    <col min="12292" max="12292" width="17" style="61" customWidth="1"/>
    <col min="12293" max="12293" width="17.5703125" style="61" customWidth="1"/>
    <col min="12294" max="12544" width="9.140625" style="61"/>
    <col min="12545" max="12545" width="7.140625" style="61" customWidth="1"/>
    <col min="12546" max="12546" width="45.85546875" style="61" customWidth="1"/>
    <col min="12547" max="12547" width="16.28515625" style="61" customWidth="1"/>
    <col min="12548" max="12548" width="17" style="61" customWidth="1"/>
    <col min="12549" max="12549" width="17.5703125" style="61" customWidth="1"/>
    <col min="12550" max="12800" width="9.140625" style="61"/>
    <col min="12801" max="12801" width="7.140625" style="61" customWidth="1"/>
    <col min="12802" max="12802" width="45.85546875" style="61" customWidth="1"/>
    <col min="12803" max="12803" width="16.28515625" style="61" customWidth="1"/>
    <col min="12804" max="12804" width="17" style="61" customWidth="1"/>
    <col min="12805" max="12805" width="17.5703125" style="61" customWidth="1"/>
    <col min="12806" max="13056" width="9.140625" style="61"/>
    <col min="13057" max="13057" width="7.140625" style="61" customWidth="1"/>
    <col min="13058" max="13058" width="45.85546875" style="61" customWidth="1"/>
    <col min="13059" max="13059" width="16.28515625" style="61" customWidth="1"/>
    <col min="13060" max="13060" width="17" style="61" customWidth="1"/>
    <col min="13061" max="13061" width="17.5703125" style="61" customWidth="1"/>
    <col min="13062" max="13312" width="9.140625" style="61"/>
    <col min="13313" max="13313" width="7.140625" style="61" customWidth="1"/>
    <col min="13314" max="13314" width="45.85546875" style="61" customWidth="1"/>
    <col min="13315" max="13315" width="16.28515625" style="61" customWidth="1"/>
    <col min="13316" max="13316" width="17" style="61" customWidth="1"/>
    <col min="13317" max="13317" width="17.5703125" style="61" customWidth="1"/>
    <col min="13318" max="13568" width="9.140625" style="61"/>
    <col min="13569" max="13569" width="7.140625" style="61" customWidth="1"/>
    <col min="13570" max="13570" width="45.85546875" style="61" customWidth="1"/>
    <col min="13571" max="13571" width="16.28515625" style="61" customWidth="1"/>
    <col min="13572" max="13572" width="17" style="61" customWidth="1"/>
    <col min="13573" max="13573" width="17.5703125" style="61" customWidth="1"/>
    <col min="13574" max="13824" width="9.140625" style="61"/>
    <col min="13825" max="13825" width="7.140625" style="61" customWidth="1"/>
    <col min="13826" max="13826" width="45.85546875" style="61" customWidth="1"/>
    <col min="13827" max="13827" width="16.28515625" style="61" customWidth="1"/>
    <col min="13828" max="13828" width="17" style="61" customWidth="1"/>
    <col min="13829" max="13829" width="17.5703125" style="61" customWidth="1"/>
    <col min="13830" max="14080" width="9.140625" style="61"/>
    <col min="14081" max="14081" width="7.140625" style="61" customWidth="1"/>
    <col min="14082" max="14082" width="45.85546875" style="61" customWidth="1"/>
    <col min="14083" max="14083" width="16.28515625" style="61" customWidth="1"/>
    <col min="14084" max="14084" width="17" style="61" customWidth="1"/>
    <col min="14085" max="14085" width="17.5703125" style="61" customWidth="1"/>
    <col min="14086" max="14336" width="9.140625" style="61"/>
    <col min="14337" max="14337" width="7.140625" style="61" customWidth="1"/>
    <col min="14338" max="14338" width="45.85546875" style="61" customWidth="1"/>
    <col min="14339" max="14339" width="16.28515625" style="61" customWidth="1"/>
    <col min="14340" max="14340" width="17" style="61" customWidth="1"/>
    <col min="14341" max="14341" width="17.5703125" style="61" customWidth="1"/>
    <col min="14342" max="14592" width="9.140625" style="61"/>
    <col min="14593" max="14593" width="7.140625" style="61" customWidth="1"/>
    <col min="14594" max="14594" width="45.85546875" style="61" customWidth="1"/>
    <col min="14595" max="14595" width="16.28515625" style="61" customWidth="1"/>
    <col min="14596" max="14596" width="17" style="61" customWidth="1"/>
    <col min="14597" max="14597" width="17.5703125" style="61" customWidth="1"/>
    <col min="14598" max="14848" width="9.140625" style="61"/>
    <col min="14849" max="14849" width="7.140625" style="61" customWidth="1"/>
    <col min="14850" max="14850" width="45.85546875" style="61" customWidth="1"/>
    <col min="14851" max="14851" width="16.28515625" style="61" customWidth="1"/>
    <col min="14852" max="14852" width="17" style="61" customWidth="1"/>
    <col min="14853" max="14853" width="17.5703125" style="61" customWidth="1"/>
    <col min="14854" max="15104" width="9.140625" style="61"/>
    <col min="15105" max="15105" width="7.140625" style="61" customWidth="1"/>
    <col min="15106" max="15106" width="45.85546875" style="61" customWidth="1"/>
    <col min="15107" max="15107" width="16.28515625" style="61" customWidth="1"/>
    <col min="15108" max="15108" width="17" style="61" customWidth="1"/>
    <col min="15109" max="15109" width="17.5703125" style="61" customWidth="1"/>
    <col min="15110" max="15360" width="9.140625" style="61"/>
    <col min="15361" max="15361" width="7.140625" style="61" customWidth="1"/>
    <col min="15362" max="15362" width="45.85546875" style="61" customWidth="1"/>
    <col min="15363" max="15363" width="16.28515625" style="61" customWidth="1"/>
    <col min="15364" max="15364" width="17" style="61" customWidth="1"/>
    <col min="15365" max="15365" width="17.5703125" style="61" customWidth="1"/>
    <col min="15366" max="15616" width="9.140625" style="61"/>
    <col min="15617" max="15617" width="7.140625" style="61" customWidth="1"/>
    <col min="15618" max="15618" width="45.85546875" style="61" customWidth="1"/>
    <col min="15619" max="15619" width="16.28515625" style="61" customWidth="1"/>
    <col min="15620" max="15620" width="17" style="61" customWidth="1"/>
    <col min="15621" max="15621" width="17.5703125" style="61" customWidth="1"/>
    <col min="15622" max="15872" width="9.140625" style="61"/>
    <col min="15873" max="15873" width="7.140625" style="61" customWidth="1"/>
    <col min="15874" max="15874" width="45.85546875" style="61" customWidth="1"/>
    <col min="15875" max="15875" width="16.28515625" style="61" customWidth="1"/>
    <col min="15876" max="15876" width="17" style="61" customWidth="1"/>
    <col min="15877" max="15877" width="17.5703125" style="61" customWidth="1"/>
    <col min="15878" max="16128" width="9.140625" style="61"/>
    <col min="16129" max="16129" width="7.140625" style="61" customWidth="1"/>
    <col min="16130" max="16130" width="45.85546875" style="61" customWidth="1"/>
    <col min="16131" max="16131" width="16.28515625" style="61" customWidth="1"/>
    <col min="16132" max="16132" width="17" style="61" customWidth="1"/>
    <col min="16133" max="16133" width="17.5703125" style="61" customWidth="1"/>
    <col min="16134" max="16384" width="9.140625" style="61"/>
  </cols>
  <sheetData>
    <row r="1" spans="1:5" ht="18.75" x14ac:dyDescent="0.25">
      <c r="A1" s="500" t="s">
        <v>347</v>
      </c>
      <c r="B1" s="500"/>
      <c r="C1" s="500"/>
      <c r="D1" s="500"/>
      <c r="E1" s="500"/>
    </row>
    <row r="2" spans="1:5" ht="59.25" customHeight="1" x14ac:dyDescent="0.25">
      <c r="A2" s="501" t="s">
        <v>332</v>
      </c>
      <c r="B2" s="501"/>
      <c r="C2" s="501"/>
      <c r="D2" s="501"/>
      <c r="E2" s="501"/>
    </row>
    <row r="3" spans="1:5" ht="18.75" x14ac:dyDescent="0.25">
      <c r="A3" s="502" t="s">
        <v>51</v>
      </c>
      <c r="B3" s="502" t="s">
        <v>52</v>
      </c>
      <c r="C3" s="502" t="s">
        <v>2</v>
      </c>
      <c r="D3" s="502"/>
      <c r="E3" s="502"/>
    </row>
    <row r="4" spans="1:5" ht="18.75" x14ac:dyDescent="0.25">
      <c r="A4" s="502"/>
      <c r="B4" s="502"/>
      <c r="C4" s="504" t="s">
        <v>3</v>
      </c>
      <c r="D4" s="506" t="s">
        <v>4</v>
      </c>
      <c r="E4" s="507"/>
    </row>
    <row r="5" spans="1:5" ht="18.75" x14ac:dyDescent="0.25">
      <c r="A5" s="502" t="s">
        <v>51</v>
      </c>
      <c r="B5" s="503" t="s">
        <v>52</v>
      </c>
      <c r="C5" s="505"/>
      <c r="D5" s="313" t="s">
        <v>5</v>
      </c>
      <c r="E5" s="313" t="s">
        <v>6</v>
      </c>
    </row>
    <row r="6" spans="1:5" ht="18.75" x14ac:dyDescent="0.25">
      <c r="A6" s="314" t="s">
        <v>53</v>
      </c>
      <c r="B6" s="315" t="s">
        <v>54</v>
      </c>
      <c r="C6" s="315" t="s">
        <v>55</v>
      </c>
      <c r="D6" s="315">
        <v>4</v>
      </c>
      <c r="E6" s="315">
        <v>5</v>
      </c>
    </row>
    <row r="7" spans="1:5" ht="18.75" x14ac:dyDescent="0.25">
      <c r="A7" s="313">
        <v>1</v>
      </c>
      <c r="B7" s="316" t="s">
        <v>7</v>
      </c>
      <c r="C7" s="418">
        <v>45700.800000000003</v>
      </c>
      <c r="D7" s="418">
        <v>45965.1</v>
      </c>
      <c r="E7" s="418">
        <v>48266.3</v>
      </c>
    </row>
    <row r="8" spans="1:5" ht="18.75" x14ac:dyDescent="0.25">
      <c r="A8" s="313">
        <v>2</v>
      </c>
      <c r="B8" s="316" t="s">
        <v>8</v>
      </c>
      <c r="C8" s="422">
        <v>0</v>
      </c>
      <c r="D8" s="422">
        <v>0</v>
      </c>
      <c r="E8" s="422">
        <v>0</v>
      </c>
    </row>
    <row r="9" spans="1:5" ht="18.75" x14ac:dyDescent="0.25">
      <c r="A9" s="313">
        <v>3</v>
      </c>
      <c r="B9" s="316" t="s">
        <v>9</v>
      </c>
      <c r="C9" s="422">
        <v>0</v>
      </c>
      <c r="D9" s="422">
        <v>0</v>
      </c>
      <c r="E9" s="422">
        <v>0</v>
      </c>
    </row>
    <row r="10" spans="1:5" ht="18.75" x14ac:dyDescent="0.25">
      <c r="A10" s="313">
        <v>4</v>
      </c>
      <c r="B10" s="316" t="s">
        <v>10</v>
      </c>
      <c r="C10" s="420">
        <v>46381.1</v>
      </c>
      <c r="D10" s="420">
        <v>46649.3</v>
      </c>
      <c r="E10" s="418">
        <v>48981.7</v>
      </c>
    </row>
    <row r="11" spans="1:5" ht="18.75" x14ac:dyDescent="0.25">
      <c r="A11" s="313">
        <v>5</v>
      </c>
      <c r="B11" s="316" t="s">
        <v>11</v>
      </c>
      <c r="C11" s="420">
        <v>77523.100000000006</v>
      </c>
      <c r="D11" s="420">
        <v>77971.5</v>
      </c>
      <c r="E11" s="418">
        <v>81891.100000000006</v>
      </c>
    </row>
    <row r="12" spans="1:5" ht="18.75" x14ac:dyDescent="0.25">
      <c r="A12" s="313">
        <v>6</v>
      </c>
      <c r="B12" s="317" t="s">
        <v>12</v>
      </c>
      <c r="C12" s="420">
        <v>34584</v>
      </c>
      <c r="D12" s="420">
        <v>34784</v>
      </c>
      <c r="E12" s="418">
        <v>36546.699999999997</v>
      </c>
    </row>
    <row r="13" spans="1:5" ht="18.75" x14ac:dyDescent="0.25">
      <c r="A13" s="313">
        <v>7</v>
      </c>
      <c r="B13" s="317" t="s">
        <v>13</v>
      </c>
      <c r="C13" s="420">
        <v>29674.3</v>
      </c>
      <c r="D13" s="420">
        <v>29845.9</v>
      </c>
      <c r="E13" s="418">
        <v>31348.1</v>
      </c>
    </row>
    <row r="14" spans="1:5" ht="18.75" x14ac:dyDescent="0.25">
      <c r="A14" s="313">
        <v>8</v>
      </c>
      <c r="B14" s="318" t="s">
        <v>14</v>
      </c>
      <c r="C14" s="420">
        <v>33308.400000000001</v>
      </c>
      <c r="D14" s="420">
        <v>33501</v>
      </c>
      <c r="E14" s="418">
        <v>35196.1</v>
      </c>
    </row>
    <row r="15" spans="1:5" ht="18.75" x14ac:dyDescent="0.25">
      <c r="A15" s="313">
        <v>9</v>
      </c>
      <c r="B15" s="316" t="s">
        <v>15</v>
      </c>
      <c r="C15" s="420">
        <v>51113.8</v>
      </c>
      <c r="D15" s="420">
        <v>51409.4</v>
      </c>
      <c r="E15" s="418">
        <v>54006.6</v>
      </c>
    </row>
    <row r="16" spans="1:5" ht="18.75" x14ac:dyDescent="0.25">
      <c r="A16" s="313">
        <v>10</v>
      </c>
      <c r="B16" s="316" t="s">
        <v>16</v>
      </c>
      <c r="C16" s="420">
        <v>17635</v>
      </c>
      <c r="D16" s="420">
        <v>17737</v>
      </c>
      <c r="E16" s="418">
        <v>18639.3</v>
      </c>
    </row>
    <row r="17" spans="1:17" ht="18.75" x14ac:dyDescent="0.25">
      <c r="A17" s="313">
        <v>11</v>
      </c>
      <c r="B17" s="316" t="s">
        <v>17</v>
      </c>
      <c r="C17" s="420">
        <v>19366</v>
      </c>
      <c r="D17" s="420">
        <v>19478</v>
      </c>
      <c r="E17" s="418">
        <v>20469.5</v>
      </c>
    </row>
    <row r="18" spans="1:17" ht="18.75" x14ac:dyDescent="0.25">
      <c r="A18" s="313">
        <v>12</v>
      </c>
      <c r="B18" s="319" t="s">
        <v>18</v>
      </c>
      <c r="C18" s="420">
        <v>27958.7</v>
      </c>
      <c r="D18" s="420">
        <v>28120.400000000001</v>
      </c>
      <c r="E18" s="418">
        <v>29551.9</v>
      </c>
    </row>
    <row r="19" spans="1:17" ht="18.75" x14ac:dyDescent="0.25">
      <c r="A19" s="313">
        <v>13</v>
      </c>
      <c r="B19" s="317" t="s">
        <v>19</v>
      </c>
      <c r="C19" s="420">
        <v>14011.4</v>
      </c>
      <c r="D19" s="420">
        <v>14092.4</v>
      </c>
      <c r="E19" s="418">
        <v>14806.2</v>
      </c>
      <c r="Q19" s="212"/>
    </row>
    <row r="20" spans="1:17" ht="18.75" x14ac:dyDescent="0.25">
      <c r="A20" s="313">
        <v>14</v>
      </c>
      <c r="B20" s="317" t="s">
        <v>20</v>
      </c>
      <c r="C20" s="420">
        <v>9724.4</v>
      </c>
      <c r="D20" s="420">
        <v>9780.7000000000007</v>
      </c>
      <c r="E20" s="418">
        <v>10278.200000000001</v>
      </c>
    </row>
    <row r="21" spans="1:17" ht="18.75" x14ac:dyDescent="0.25">
      <c r="A21" s="313">
        <v>15</v>
      </c>
      <c r="B21" s="316" t="s">
        <v>21</v>
      </c>
      <c r="C21" s="420">
        <v>22686.5</v>
      </c>
      <c r="D21" s="420">
        <v>22817.599999999999</v>
      </c>
      <c r="E21" s="418">
        <v>23984</v>
      </c>
    </row>
    <row r="22" spans="1:17" ht="18.75" x14ac:dyDescent="0.25">
      <c r="A22" s="313">
        <v>16</v>
      </c>
      <c r="B22" s="320" t="s">
        <v>22</v>
      </c>
      <c r="C22" s="420">
        <v>15126.4</v>
      </c>
      <c r="D22" s="420">
        <v>15213.8</v>
      </c>
      <c r="E22" s="418">
        <v>15991.1</v>
      </c>
    </row>
    <row r="23" spans="1:17" ht="18.75" x14ac:dyDescent="0.25">
      <c r="A23" s="313">
        <v>17</v>
      </c>
      <c r="B23" s="320" t="s">
        <v>23</v>
      </c>
      <c r="C23" s="420">
        <v>13318.7</v>
      </c>
      <c r="D23" s="420">
        <v>13395.7</v>
      </c>
      <c r="E23" s="418">
        <v>14081.5</v>
      </c>
    </row>
    <row r="24" spans="1:17" ht="18.75" x14ac:dyDescent="0.25">
      <c r="A24" s="313">
        <v>18</v>
      </c>
      <c r="B24" s="321" t="s">
        <v>24</v>
      </c>
      <c r="C24" s="420">
        <v>23428.799999999999</v>
      </c>
      <c r="D24" s="420">
        <v>23564.3</v>
      </c>
      <c r="E24" s="418">
        <v>24765.599999999999</v>
      </c>
    </row>
    <row r="25" spans="1:17" ht="18.75" x14ac:dyDescent="0.25">
      <c r="A25" s="313">
        <v>19</v>
      </c>
      <c r="B25" s="316" t="s">
        <v>25</v>
      </c>
      <c r="C25" s="420">
        <v>42192.7</v>
      </c>
      <c r="D25" s="420">
        <v>42436.7</v>
      </c>
      <c r="E25" s="418">
        <v>44582.8</v>
      </c>
    </row>
    <row r="26" spans="1:17" ht="18.75" x14ac:dyDescent="0.25">
      <c r="A26" s="313">
        <v>20</v>
      </c>
      <c r="B26" s="316" t="s">
        <v>26</v>
      </c>
      <c r="C26" s="420">
        <v>9419.4</v>
      </c>
      <c r="D26" s="420">
        <v>9473.9</v>
      </c>
      <c r="E26" s="418">
        <v>9954.7000000000007</v>
      </c>
    </row>
    <row r="27" spans="1:17" ht="18.75" x14ac:dyDescent="0.25">
      <c r="A27" s="313">
        <v>21</v>
      </c>
      <c r="B27" s="316" t="s">
        <v>27</v>
      </c>
      <c r="C27" s="420">
        <v>44031</v>
      </c>
      <c r="D27" s="420">
        <v>44285.599999999999</v>
      </c>
      <c r="E27" s="421">
        <v>46524.800000000003</v>
      </c>
    </row>
    <row r="28" spans="1:17" ht="18.75" x14ac:dyDescent="0.25">
      <c r="A28" s="313">
        <v>22</v>
      </c>
      <c r="B28" s="316" t="s">
        <v>28</v>
      </c>
      <c r="C28" s="420">
        <v>7839.8</v>
      </c>
      <c r="D28" s="420">
        <v>7885.1</v>
      </c>
      <c r="E28" s="418">
        <v>8287</v>
      </c>
    </row>
    <row r="29" spans="1:17" ht="18.75" x14ac:dyDescent="0.25">
      <c r="A29" s="313">
        <v>23</v>
      </c>
      <c r="B29" s="316" t="s">
        <v>29</v>
      </c>
      <c r="C29" s="420">
        <v>26276.400000000001</v>
      </c>
      <c r="D29" s="420">
        <v>26428.400000000001</v>
      </c>
      <c r="E29" s="418">
        <v>27769.5</v>
      </c>
    </row>
    <row r="30" spans="1:17" ht="18.75" x14ac:dyDescent="0.25">
      <c r="A30" s="313">
        <v>24</v>
      </c>
      <c r="B30" s="316" t="s">
        <v>30</v>
      </c>
      <c r="C30" s="420">
        <v>92463.7</v>
      </c>
      <c r="D30" s="420">
        <v>92998.5</v>
      </c>
      <c r="E30" s="418">
        <v>97693.7</v>
      </c>
    </row>
    <row r="31" spans="1:17" ht="18.75" x14ac:dyDescent="0.25">
      <c r="A31" s="313">
        <v>25</v>
      </c>
      <c r="B31" s="316" t="s">
        <v>31</v>
      </c>
      <c r="C31" s="420">
        <v>36541.699999999997</v>
      </c>
      <c r="D31" s="420">
        <v>36753.1</v>
      </c>
      <c r="E31" s="418">
        <v>38622.9</v>
      </c>
    </row>
    <row r="32" spans="1:17" ht="18.75" x14ac:dyDescent="0.25">
      <c r="A32" s="313">
        <v>26</v>
      </c>
      <c r="B32" s="316" t="s">
        <v>32</v>
      </c>
      <c r="C32" s="420">
        <v>16443</v>
      </c>
      <c r="D32" s="420">
        <v>16538.2</v>
      </c>
      <c r="E32" s="418">
        <v>17375.099999999999</v>
      </c>
    </row>
    <row r="33" spans="1:5" ht="18.75" x14ac:dyDescent="0.25">
      <c r="A33" s="313">
        <v>27</v>
      </c>
      <c r="B33" s="316" t="s">
        <v>33</v>
      </c>
      <c r="C33" s="420">
        <v>27514.9</v>
      </c>
      <c r="D33" s="420">
        <v>27674.1</v>
      </c>
      <c r="E33" s="418">
        <v>29090.1</v>
      </c>
    </row>
    <row r="34" spans="1:5" ht="18.75" x14ac:dyDescent="0.25">
      <c r="A34" s="313">
        <v>28</v>
      </c>
      <c r="B34" s="316" t="s">
        <v>34</v>
      </c>
      <c r="C34" s="420">
        <v>96890.6</v>
      </c>
      <c r="D34" s="420">
        <v>97451</v>
      </c>
      <c r="E34" s="418">
        <v>102342.9</v>
      </c>
    </row>
    <row r="35" spans="1:5" ht="18.75" x14ac:dyDescent="0.25">
      <c r="A35" s="313">
        <v>29</v>
      </c>
      <c r="B35" s="316" t="s">
        <v>35</v>
      </c>
      <c r="C35" s="420">
        <v>21276.3</v>
      </c>
      <c r="D35" s="420">
        <v>21399.4</v>
      </c>
      <c r="E35" s="418">
        <v>22484.7</v>
      </c>
    </row>
    <row r="36" spans="1:5" ht="18.75" x14ac:dyDescent="0.25">
      <c r="A36" s="313">
        <v>30</v>
      </c>
      <c r="B36" s="316" t="s">
        <v>36</v>
      </c>
      <c r="C36" s="420">
        <v>32037.200000000001</v>
      </c>
      <c r="D36" s="420">
        <v>32222.5</v>
      </c>
      <c r="E36" s="418">
        <v>33850.800000000003</v>
      </c>
    </row>
    <row r="37" spans="1:5" ht="18.75" x14ac:dyDescent="0.25">
      <c r="A37" s="313">
        <v>31</v>
      </c>
      <c r="B37" s="316" t="s">
        <v>37</v>
      </c>
      <c r="C37" s="420">
        <v>23066.5</v>
      </c>
      <c r="D37" s="420">
        <v>23199.9</v>
      </c>
      <c r="E37" s="418">
        <v>24373.9</v>
      </c>
    </row>
    <row r="38" spans="1:5" ht="18.75" x14ac:dyDescent="0.25">
      <c r="A38" s="313">
        <v>32</v>
      </c>
      <c r="B38" s="316" t="s">
        <v>38</v>
      </c>
      <c r="C38" s="420">
        <v>10373.299999999999</v>
      </c>
      <c r="D38" s="420">
        <v>10433.299999999999</v>
      </c>
      <c r="E38" s="418">
        <v>10968</v>
      </c>
    </row>
    <row r="39" spans="1:5" ht="18.75" x14ac:dyDescent="0.25">
      <c r="A39" s="313">
        <v>33</v>
      </c>
      <c r="B39" s="316" t="s">
        <v>39</v>
      </c>
      <c r="C39" s="420">
        <v>24205.9</v>
      </c>
      <c r="D39" s="420">
        <v>24345.8</v>
      </c>
      <c r="E39" s="418">
        <v>25583.200000000001</v>
      </c>
    </row>
    <row r="40" spans="1:5" ht="18.75" x14ac:dyDescent="0.25">
      <c r="A40" s="313">
        <v>34</v>
      </c>
      <c r="B40" s="316" t="s">
        <v>40</v>
      </c>
      <c r="C40" s="420">
        <v>28849.7</v>
      </c>
      <c r="D40" s="420">
        <v>29016.5</v>
      </c>
      <c r="E40" s="418">
        <v>30502.3</v>
      </c>
    </row>
    <row r="41" spans="1:5" ht="18.75" x14ac:dyDescent="0.25">
      <c r="A41" s="313">
        <v>35</v>
      </c>
      <c r="B41" s="316" t="s">
        <v>41</v>
      </c>
      <c r="C41" s="420">
        <v>10471.700000000001</v>
      </c>
      <c r="D41" s="420">
        <v>10532.3</v>
      </c>
      <c r="E41" s="418">
        <v>11066.2</v>
      </c>
    </row>
    <row r="42" spans="1:5" ht="18.75" x14ac:dyDescent="0.25">
      <c r="A42" s="313">
        <v>36</v>
      </c>
      <c r="B42" s="316" t="s">
        <v>42</v>
      </c>
      <c r="C42" s="420">
        <v>13476.1</v>
      </c>
      <c r="D42" s="420">
        <v>13554</v>
      </c>
      <c r="E42" s="418">
        <v>14239</v>
      </c>
    </row>
    <row r="43" spans="1:5" ht="18.75" x14ac:dyDescent="0.25">
      <c r="A43" s="313">
        <v>37</v>
      </c>
      <c r="B43" s="316" t="s">
        <v>43</v>
      </c>
      <c r="C43" s="420">
        <v>39177.5</v>
      </c>
      <c r="D43" s="420">
        <v>39404.1</v>
      </c>
      <c r="E43" s="418">
        <v>41412.1</v>
      </c>
    </row>
    <row r="44" spans="1:5" ht="18.75" x14ac:dyDescent="0.25">
      <c r="A44" s="313">
        <v>38</v>
      </c>
      <c r="B44" s="316" t="s">
        <v>44</v>
      </c>
      <c r="C44" s="420">
        <v>32839.699999999997</v>
      </c>
      <c r="D44" s="420">
        <v>33029.599999999999</v>
      </c>
      <c r="E44" s="418">
        <v>34708.6</v>
      </c>
    </row>
    <row r="45" spans="1:5" ht="18.75" x14ac:dyDescent="0.25">
      <c r="A45" s="313">
        <v>39</v>
      </c>
      <c r="B45" s="316" t="s">
        <v>45</v>
      </c>
      <c r="C45" s="420">
        <v>29191.3</v>
      </c>
      <c r="D45" s="420">
        <v>29360.2</v>
      </c>
      <c r="E45" s="418">
        <v>30847.7</v>
      </c>
    </row>
    <row r="46" spans="1:5" ht="18.75" x14ac:dyDescent="0.25">
      <c r="A46" s="313">
        <v>40</v>
      </c>
      <c r="B46" s="316" t="s">
        <v>46</v>
      </c>
      <c r="C46" s="420">
        <v>10779</v>
      </c>
      <c r="D46" s="420">
        <v>10841.3</v>
      </c>
      <c r="E46" s="418">
        <v>11390.7</v>
      </c>
    </row>
    <row r="47" spans="1:5" ht="18.75" x14ac:dyDescent="0.25">
      <c r="A47" s="313">
        <v>41</v>
      </c>
      <c r="B47" s="316" t="s">
        <v>47</v>
      </c>
      <c r="C47" s="420">
        <v>9702.5</v>
      </c>
      <c r="D47" s="420">
        <v>9758.6</v>
      </c>
      <c r="E47" s="418">
        <v>10246.200000000001</v>
      </c>
    </row>
    <row r="48" spans="1:5" ht="18.75" x14ac:dyDescent="0.25">
      <c r="A48" s="313">
        <v>42</v>
      </c>
      <c r="B48" s="316" t="s">
        <v>48</v>
      </c>
      <c r="C48" s="422">
        <v>0</v>
      </c>
      <c r="D48" s="422">
        <v>0</v>
      </c>
      <c r="E48" s="418">
        <v>2382.6</v>
      </c>
    </row>
    <row r="49" spans="1:5" ht="18.75" x14ac:dyDescent="0.25">
      <c r="A49" s="313">
        <v>43</v>
      </c>
      <c r="B49" s="316" t="s">
        <v>361</v>
      </c>
      <c r="C49" s="422">
        <v>0</v>
      </c>
      <c r="D49" s="420">
        <v>61755.199999999997</v>
      </c>
      <c r="E49" s="418">
        <v>137233.70000000001</v>
      </c>
    </row>
    <row r="50" spans="1:5" ht="18.75" x14ac:dyDescent="0.25">
      <c r="A50" s="68" t="s">
        <v>58</v>
      </c>
      <c r="B50" s="322" t="s">
        <v>49</v>
      </c>
      <c r="C50" s="419">
        <f>SUM(C7:C49)</f>
        <v>1166601.3</v>
      </c>
      <c r="D50" s="419">
        <f t="shared" ref="D50:E50" si="0">SUM(D7:D49)</f>
        <v>1235103.4000000004</v>
      </c>
      <c r="E50" s="419">
        <f t="shared" si="0"/>
        <v>1372337.0999999999</v>
      </c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  <row r="55" spans="1:5" x14ac:dyDescent="0.25">
      <c r="A55" s="71"/>
      <c r="B55" s="71"/>
      <c r="C55" s="71"/>
      <c r="D55" s="71"/>
      <c r="E55" s="71"/>
    </row>
    <row r="56" spans="1:5" x14ac:dyDescent="0.25">
      <c r="A56" s="71"/>
      <c r="B56" s="71"/>
      <c r="C56" s="71"/>
      <c r="D56" s="71"/>
      <c r="E56" s="71"/>
    </row>
    <row r="57" spans="1:5" x14ac:dyDescent="0.25">
      <c r="A57" s="71"/>
      <c r="B57" s="71"/>
      <c r="C57" s="71"/>
      <c r="D57" s="71"/>
      <c r="E57" s="71"/>
    </row>
    <row r="58" spans="1:5" x14ac:dyDescent="0.25">
      <c r="A58" s="71"/>
      <c r="B58" s="71"/>
      <c r="C58" s="71"/>
      <c r="D58" s="71"/>
      <c r="E58" s="71"/>
    </row>
    <row r="59" spans="1:5" x14ac:dyDescent="0.25">
      <c r="A59" s="71"/>
      <c r="B59" s="71"/>
      <c r="C59" s="71"/>
      <c r="D59" s="71"/>
      <c r="E59" s="71"/>
    </row>
    <row r="60" spans="1:5" x14ac:dyDescent="0.25">
      <c r="A60" s="71"/>
      <c r="B60" s="71"/>
      <c r="C60" s="71"/>
      <c r="D60" s="71"/>
      <c r="E60" s="71"/>
    </row>
    <row r="61" spans="1:5" x14ac:dyDescent="0.25">
      <c r="A61" s="71"/>
      <c r="B61" s="71"/>
      <c r="C61" s="71"/>
      <c r="D61" s="71"/>
      <c r="E61" s="71"/>
    </row>
    <row r="62" spans="1:5" x14ac:dyDescent="0.25">
      <c r="A62" s="71"/>
      <c r="B62" s="71"/>
      <c r="C62" s="71"/>
      <c r="D62" s="71"/>
      <c r="E62" s="71"/>
    </row>
    <row r="63" spans="1:5" x14ac:dyDescent="0.25">
      <c r="A63" s="71"/>
      <c r="B63" s="71"/>
      <c r="C63" s="71"/>
      <c r="D63" s="71"/>
      <c r="E63" s="71"/>
    </row>
    <row r="64" spans="1:5" x14ac:dyDescent="0.25">
      <c r="A64" s="71"/>
      <c r="B64" s="71"/>
      <c r="C64" s="71"/>
      <c r="D64" s="71"/>
      <c r="E64" s="71"/>
    </row>
    <row r="65" spans="1:5" x14ac:dyDescent="0.25">
      <c r="A65" s="71"/>
      <c r="B65" s="71"/>
      <c r="C65" s="71"/>
      <c r="D65" s="71"/>
      <c r="E65" s="71"/>
    </row>
    <row r="66" spans="1:5" x14ac:dyDescent="0.25">
      <c r="A66" s="71"/>
      <c r="B66" s="71"/>
      <c r="C66" s="71"/>
      <c r="D66" s="71"/>
      <c r="E66" s="71"/>
    </row>
    <row r="67" spans="1:5" x14ac:dyDescent="0.25">
      <c r="A67" s="71"/>
      <c r="B67" s="71"/>
      <c r="C67" s="71"/>
      <c r="D67" s="71"/>
      <c r="E67" s="71"/>
    </row>
    <row r="68" spans="1:5" x14ac:dyDescent="0.25">
      <c r="A68" s="71"/>
      <c r="B68" s="71"/>
      <c r="C68" s="71"/>
      <c r="D68" s="71"/>
      <c r="E68" s="71"/>
    </row>
    <row r="69" spans="1:5" x14ac:dyDescent="0.25">
      <c r="A69" s="71"/>
      <c r="B69" s="71"/>
      <c r="C69" s="71"/>
      <c r="D69" s="71"/>
      <c r="E69" s="71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7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69"/>
  <sheetViews>
    <sheetView view="pageBreakPreview" zoomScaleNormal="100" zoomScaleSheetLayoutView="100" workbookViewId="0">
      <pane xSplit="2" ySplit="5" topLeftCell="C6" activePane="bottomRight" state="frozen"/>
      <selection activeCell="I11" sqref="I11"/>
      <selection pane="topRight" activeCell="I11" sqref="I11"/>
      <selection pane="bottomLeft" activeCell="I11" sqref="I11"/>
      <selection pane="bottomRight" activeCell="K32" sqref="K32"/>
    </sheetView>
  </sheetViews>
  <sheetFormatPr defaultRowHeight="18" x14ac:dyDescent="0.25"/>
  <cols>
    <col min="1" max="1" width="7.140625" style="61" customWidth="1"/>
    <col min="2" max="2" width="51.42578125" style="61" customWidth="1"/>
    <col min="3" max="3" width="16.28515625" style="61" customWidth="1"/>
    <col min="4" max="4" width="17" style="61" customWidth="1"/>
    <col min="5" max="5" width="16.85546875" style="61" customWidth="1"/>
    <col min="6" max="256" width="9.140625" style="61"/>
    <col min="257" max="257" width="7.140625" style="61" customWidth="1"/>
    <col min="258" max="258" width="45.85546875" style="61" customWidth="1"/>
    <col min="259" max="259" width="16.28515625" style="61" customWidth="1"/>
    <col min="260" max="260" width="17" style="61" customWidth="1"/>
    <col min="261" max="261" width="16.85546875" style="61" customWidth="1"/>
    <col min="262" max="512" width="9.140625" style="61"/>
    <col min="513" max="513" width="7.140625" style="61" customWidth="1"/>
    <col min="514" max="514" width="45.85546875" style="61" customWidth="1"/>
    <col min="515" max="515" width="16.28515625" style="61" customWidth="1"/>
    <col min="516" max="516" width="17" style="61" customWidth="1"/>
    <col min="517" max="517" width="16.85546875" style="61" customWidth="1"/>
    <col min="518" max="768" width="9.140625" style="61"/>
    <col min="769" max="769" width="7.140625" style="61" customWidth="1"/>
    <col min="770" max="770" width="45.85546875" style="61" customWidth="1"/>
    <col min="771" max="771" width="16.28515625" style="61" customWidth="1"/>
    <col min="772" max="772" width="17" style="61" customWidth="1"/>
    <col min="773" max="773" width="16.85546875" style="61" customWidth="1"/>
    <col min="774" max="1024" width="9.140625" style="61"/>
    <col min="1025" max="1025" width="7.140625" style="61" customWidth="1"/>
    <col min="1026" max="1026" width="45.85546875" style="61" customWidth="1"/>
    <col min="1027" max="1027" width="16.28515625" style="61" customWidth="1"/>
    <col min="1028" max="1028" width="17" style="61" customWidth="1"/>
    <col min="1029" max="1029" width="16.85546875" style="61" customWidth="1"/>
    <col min="1030" max="1280" width="9.140625" style="61"/>
    <col min="1281" max="1281" width="7.140625" style="61" customWidth="1"/>
    <col min="1282" max="1282" width="45.85546875" style="61" customWidth="1"/>
    <col min="1283" max="1283" width="16.28515625" style="61" customWidth="1"/>
    <col min="1284" max="1284" width="17" style="61" customWidth="1"/>
    <col min="1285" max="1285" width="16.85546875" style="61" customWidth="1"/>
    <col min="1286" max="1536" width="9.140625" style="61"/>
    <col min="1537" max="1537" width="7.140625" style="61" customWidth="1"/>
    <col min="1538" max="1538" width="45.85546875" style="61" customWidth="1"/>
    <col min="1539" max="1539" width="16.28515625" style="61" customWidth="1"/>
    <col min="1540" max="1540" width="17" style="61" customWidth="1"/>
    <col min="1541" max="1541" width="16.85546875" style="61" customWidth="1"/>
    <col min="1542" max="1792" width="9.140625" style="61"/>
    <col min="1793" max="1793" width="7.140625" style="61" customWidth="1"/>
    <col min="1794" max="1794" width="45.85546875" style="61" customWidth="1"/>
    <col min="1795" max="1795" width="16.28515625" style="61" customWidth="1"/>
    <col min="1796" max="1796" width="17" style="61" customWidth="1"/>
    <col min="1797" max="1797" width="16.85546875" style="61" customWidth="1"/>
    <col min="1798" max="2048" width="9.140625" style="61"/>
    <col min="2049" max="2049" width="7.140625" style="61" customWidth="1"/>
    <col min="2050" max="2050" width="45.85546875" style="61" customWidth="1"/>
    <col min="2051" max="2051" width="16.28515625" style="61" customWidth="1"/>
    <col min="2052" max="2052" width="17" style="61" customWidth="1"/>
    <col min="2053" max="2053" width="16.85546875" style="61" customWidth="1"/>
    <col min="2054" max="2304" width="9.140625" style="61"/>
    <col min="2305" max="2305" width="7.140625" style="61" customWidth="1"/>
    <col min="2306" max="2306" width="45.85546875" style="61" customWidth="1"/>
    <col min="2307" max="2307" width="16.28515625" style="61" customWidth="1"/>
    <col min="2308" max="2308" width="17" style="61" customWidth="1"/>
    <col min="2309" max="2309" width="16.85546875" style="61" customWidth="1"/>
    <col min="2310" max="2560" width="9.140625" style="61"/>
    <col min="2561" max="2561" width="7.140625" style="61" customWidth="1"/>
    <col min="2562" max="2562" width="45.85546875" style="61" customWidth="1"/>
    <col min="2563" max="2563" width="16.28515625" style="61" customWidth="1"/>
    <col min="2564" max="2564" width="17" style="61" customWidth="1"/>
    <col min="2565" max="2565" width="16.85546875" style="61" customWidth="1"/>
    <col min="2566" max="2816" width="9.140625" style="61"/>
    <col min="2817" max="2817" width="7.140625" style="61" customWidth="1"/>
    <col min="2818" max="2818" width="45.85546875" style="61" customWidth="1"/>
    <col min="2819" max="2819" width="16.28515625" style="61" customWidth="1"/>
    <col min="2820" max="2820" width="17" style="61" customWidth="1"/>
    <col min="2821" max="2821" width="16.85546875" style="61" customWidth="1"/>
    <col min="2822" max="3072" width="9.140625" style="61"/>
    <col min="3073" max="3073" width="7.140625" style="61" customWidth="1"/>
    <col min="3074" max="3074" width="45.85546875" style="61" customWidth="1"/>
    <col min="3075" max="3075" width="16.28515625" style="61" customWidth="1"/>
    <col min="3076" max="3076" width="17" style="61" customWidth="1"/>
    <col min="3077" max="3077" width="16.85546875" style="61" customWidth="1"/>
    <col min="3078" max="3328" width="9.140625" style="61"/>
    <col min="3329" max="3329" width="7.140625" style="61" customWidth="1"/>
    <col min="3330" max="3330" width="45.85546875" style="61" customWidth="1"/>
    <col min="3331" max="3331" width="16.28515625" style="61" customWidth="1"/>
    <col min="3332" max="3332" width="17" style="61" customWidth="1"/>
    <col min="3333" max="3333" width="16.85546875" style="61" customWidth="1"/>
    <col min="3334" max="3584" width="9.140625" style="61"/>
    <col min="3585" max="3585" width="7.140625" style="61" customWidth="1"/>
    <col min="3586" max="3586" width="45.85546875" style="61" customWidth="1"/>
    <col min="3587" max="3587" width="16.28515625" style="61" customWidth="1"/>
    <col min="3588" max="3588" width="17" style="61" customWidth="1"/>
    <col min="3589" max="3589" width="16.85546875" style="61" customWidth="1"/>
    <col min="3590" max="3840" width="9.140625" style="61"/>
    <col min="3841" max="3841" width="7.140625" style="61" customWidth="1"/>
    <col min="3842" max="3842" width="45.85546875" style="61" customWidth="1"/>
    <col min="3843" max="3843" width="16.28515625" style="61" customWidth="1"/>
    <col min="3844" max="3844" width="17" style="61" customWidth="1"/>
    <col min="3845" max="3845" width="16.85546875" style="61" customWidth="1"/>
    <col min="3846" max="4096" width="9.140625" style="61"/>
    <col min="4097" max="4097" width="7.140625" style="61" customWidth="1"/>
    <col min="4098" max="4098" width="45.85546875" style="61" customWidth="1"/>
    <col min="4099" max="4099" width="16.28515625" style="61" customWidth="1"/>
    <col min="4100" max="4100" width="17" style="61" customWidth="1"/>
    <col min="4101" max="4101" width="16.85546875" style="61" customWidth="1"/>
    <col min="4102" max="4352" width="9.140625" style="61"/>
    <col min="4353" max="4353" width="7.140625" style="61" customWidth="1"/>
    <col min="4354" max="4354" width="45.85546875" style="61" customWidth="1"/>
    <col min="4355" max="4355" width="16.28515625" style="61" customWidth="1"/>
    <col min="4356" max="4356" width="17" style="61" customWidth="1"/>
    <col min="4357" max="4357" width="16.85546875" style="61" customWidth="1"/>
    <col min="4358" max="4608" width="9.140625" style="61"/>
    <col min="4609" max="4609" width="7.140625" style="61" customWidth="1"/>
    <col min="4610" max="4610" width="45.85546875" style="61" customWidth="1"/>
    <col min="4611" max="4611" width="16.28515625" style="61" customWidth="1"/>
    <col min="4612" max="4612" width="17" style="61" customWidth="1"/>
    <col min="4613" max="4613" width="16.85546875" style="61" customWidth="1"/>
    <col min="4614" max="4864" width="9.140625" style="61"/>
    <col min="4865" max="4865" width="7.140625" style="61" customWidth="1"/>
    <col min="4866" max="4866" width="45.85546875" style="61" customWidth="1"/>
    <col min="4867" max="4867" width="16.28515625" style="61" customWidth="1"/>
    <col min="4868" max="4868" width="17" style="61" customWidth="1"/>
    <col min="4869" max="4869" width="16.85546875" style="61" customWidth="1"/>
    <col min="4870" max="5120" width="9.140625" style="61"/>
    <col min="5121" max="5121" width="7.140625" style="61" customWidth="1"/>
    <col min="5122" max="5122" width="45.85546875" style="61" customWidth="1"/>
    <col min="5123" max="5123" width="16.28515625" style="61" customWidth="1"/>
    <col min="5124" max="5124" width="17" style="61" customWidth="1"/>
    <col min="5125" max="5125" width="16.85546875" style="61" customWidth="1"/>
    <col min="5126" max="5376" width="9.140625" style="61"/>
    <col min="5377" max="5377" width="7.140625" style="61" customWidth="1"/>
    <col min="5378" max="5378" width="45.85546875" style="61" customWidth="1"/>
    <col min="5379" max="5379" width="16.28515625" style="61" customWidth="1"/>
    <col min="5380" max="5380" width="17" style="61" customWidth="1"/>
    <col min="5381" max="5381" width="16.85546875" style="61" customWidth="1"/>
    <col min="5382" max="5632" width="9.140625" style="61"/>
    <col min="5633" max="5633" width="7.140625" style="61" customWidth="1"/>
    <col min="5634" max="5634" width="45.85546875" style="61" customWidth="1"/>
    <col min="5635" max="5635" width="16.28515625" style="61" customWidth="1"/>
    <col min="5636" max="5636" width="17" style="61" customWidth="1"/>
    <col min="5637" max="5637" width="16.85546875" style="61" customWidth="1"/>
    <col min="5638" max="5888" width="9.140625" style="61"/>
    <col min="5889" max="5889" width="7.140625" style="61" customWidth="1"/>
    <col min="5890" max="5890" width="45.85546875" style="61" customWidth="1"/>
    <col min="5891" max="5891" width="16.28515625" style="61" customWidth="1"/>
    <col min="5892" max="5892" width="17" style="61" customWidth="1"/>
    <col min="5893" max="5893" width="16.85546875" style="61" customWidth="1"/>
    <col min="5894" max="6144" width="9.140625" style="61"/>
    <col min="6145" max="6145" width="7.140625" style="61" customWidth="1"/>
    <col min="6146" max="6146" width="45.85546875" style="61" customWidth="1"/>
    <col min="6147" max="6147" width="16.28515625" style="61" customWidth="1"/>
    <col min="6148" max="6148" width="17" style="61" customWidth="1"/>
    <col min="6149" max="6149" width="16.85546875" style="61" customWidth="1"/>
    <col min="6150" max="6400" width="9.140625" style="61"/>
    <col min="6401" max="6401" width="7.140625" style="61" customWidth="1"/>
    <col min="6402" max="6402" width="45.85546875" style="61" customWidth="1"/>
    <col min="6403" max="6403" width="16.28515625" style="61" customWidth="1"/>
    <col min="6404" max="6404" width="17" style="61" customWidth="1"/>
    <col min="6405" max="6405" width="16.85546875" style="61" customWidth="1"/>
    <col min="6406" max="6656" width="9.140625" style="61"/>
    <col min="6657" max="6657" width="7.140625" style="61" customWidth="1"/>
    <col min="6658" max="6658" width="45.85546875" style="61" customWidth="1"/>
    <col min="6659" max="6659" width="16.28515625" style="61" customWidth="1"/>
    <col min="6660" max="6660" width="17" style="61" customWidth="1"/>
    <col min="6661" max="6661" width="16.85546875" style="61" customWidth="1"/>
    <col min="6662" max="6912" width="9.140625" style="61"/>
    <col min="6913" max="6913" width="7.140625" style="61" customWidth="1"/>
    <col min="6914" max="6914" width="45.85546875" style="61" customWidth="1"/>
    <col min="6915" max="6915" width="16.28515625" style="61" customWidth="1"/>
    <col min="6916" max="6916" width="17" style="61" customWidth="1"/>
    <col min="6917" max="6917" width="16.85546875" style="61" customWidth="1"/>
    <col min="6918" max="7168" width="9.140625" style="61"/>
    <col min="7169" max="7169" width="7.140625" style="61" customWidth="1"/>
    <col min="7170" max="7170" width="45.85546875" style="61" customWidth="1"/>
    <col min="7171" max="7171" width="16.28515625" style="61" customWidth="1"/>
    <col min="7172" max="7172" width="17" style="61" customWidth="1"/>
    <col min="7173" max="7173" width="16.85546875" style="61" customWidth="1"/>
    <col min="7174" max="7424" width="9.140625" style="61"/>
    <col min="7425" max="7425" width="7.140625" style="61" customWidth="1"/>
    <col min="7426" max="7426" width="45.85546875" style="61" customWidth="1"/>
    <col min="7427" max="7427" width="16.28515625" style="61" customWidth="1"/>
    <col min="7428" max="7428" width="17" style="61" customWidth="1"/>
    <col min="7429" max="7429" width="16.85546875" style="61" customWidth="1"/>
    <col min="7430" max="7680" width="9.140625" style="61"/>
    <col min="7681" max="7681" width="7.140625" style="61" customWidth="1"/>
    <col min="7682" max="7682" width="45.85546875" style="61" customWidth="1"/>
    <col min="7683" max="7683" width="16.28515625" style="61" customWidth="1"/>
    <col min="7684" max="7684" width="17" style="61" customWidth="1"/>
    <col min="7685" max="7685" width="16.85546875" style="61" customWidth="1"/>
    <col min="7686" max="7936" width="9.140625" style="61"/>
    <col min="7937" max="7937" width="7.140625" style="61" customWidth="1"/>
    <col min="7938" max="7938" width="45.85546875" style="61" customWidth="1"/>
    <col min="7939" max="7939" width="16.28515625" style="61" customWidth="1"/>
    <col min="7940" max="7940" width="17" style="61" customWidth="1"/>
    <col min="7941" max="7941" width="16.85546875" style="61" customWidth="1"/>
    <col min="7942" max="8192" width="9.140625" style="61"/>
    <col min="8193" max="8193" width="7.140625" style="61" customWidth="1"/>
    <col min="8194" max="8194" width="45.85546875" style="61" customWidth="1"/>
    <col min="8195" max="8195" width="16.28515625" style="61" customWidth="1"/>
    <col min="8196" max="8196" width="17" style="61" customWidth="1"/>
    <col min="8197" max="8197" width="16.85546875" style="61" customWidth="1"/>
    <col min="8198" max="8448" width="9.140625" style="61"/>
    <col min="8449" max="8449" width="7.140625" style="61" customWidth="1"/>
    <col min="8450" max="8450" width="45.85546875" style="61" customWidth="1"/>
    <col min="8451" max="8451" width="16.28515625" style="61" customWidth="1"/>
    <col min="8452" max="8452" width="17" style="61" customWidth="1"/>
    <col min="8453" max="8453" width="16.85546875" style="61" customWidth="1"/>
    <col min="8454" max="8704" width="9.140625" style="61"/>
    <col min="8705" max="8705" width="7.140625" style="61" customWidth="1"/>
    <col min="8706" max="8706" width="45.85546875" style="61" customWidth="1"/>
    <col min="8707" max="8707" width="16.28515625" style="61" customWidth="1"/>
    <col min="8708" max="8708" width="17" style="61" customWidth="1"/>
    <col min="8709" max="8709" width="16.85546875" style="61" customWidth="1"/>
    <col min="8710" max="8960" width="9.140625" style="61"/>
    <col min="8961" max="8961" width="7.140625" style="61" customWidth="1"/>
    <col min="8962" max="8962" width="45.85546875" style="61" customWidth="1"/>
    <col min="8963" max="8963" width="16.28515625" style="61" customWidth="1"/>
    <col min="8964" max="8964" width="17" style="61" customWidth="1"/>
    <col min="8965" max="8965" width="16.85546875" style="61" customWidth="1"/>
    <col min="8966" max="9216" width="9.140625" style="61"/>
    <col min="9217" max="9217" width="7.140625" style="61" customWidth="1"/>
    <col min="9218" max="9218" width="45.85546875" style="61" customWidth="1"/>
    <col min="9219" max="9219" width="16.28515625" style="61" customWidth="1"/>
    <col min="9220" max="9220" width="17" style="61" customWidth="1"/>
    <col min="9221" max="9221" width="16.85546875" style="61" customWidth="1"/>
    <col min="9222" max="9472" width="9.140625" style="61"/>
    <col min="9473" max="9473" width="7.140625" style="61" customWidth="1"/>
    <col min="9474" max="9474" width="45.85546875" style="61" customWidth="1"/>
    <col min="9475" max="9475" width="16.28515625" style="61" customWidth="1"/>
    <col min="9476" max="9476" width="17" style="61" customWidth="1"/>
    <col min="9477" max="9477" width="16.85546875" style="61" customWidth="1"/>
    <col min="9478" max="9728" width="9.140625" style="61"/>
    <col min="9729" max="9729" width="7.140625" style="61" customWidth="1"/>
    <col min="9730" max="9730" width="45.85546875" style="61" customWidth="1"/>
    <col min="9731" max="9731" width="16.28515625" style="61" customWidth="1"/>
    <col min="9732" max="9732" width="17" style="61" customWidth="1"/>
    <col min="9733" max="9733" width="16.85546875" style="61" customWidth="1"/>
    <col min="9734" max="9984" width="9.140625" style="61"/>
    <col min="9985" max="9985" width="7.140625" style="61" customWidth="1"/>
    <col min="9986" max="9986" width="45.85546875" style="61" customWidth="1"/>
    <col min="9987" max="9987" width="16.28515625" style="61" customWidth="1"/>
    <col min="9988" max="9988" width="17" style="61" customWidth="1"/>
    <col min="9989" max="9989" width="16.85546875" style="61" customWidth="1"/>
    <col min="9990" max="10240" width="9.140625" style="61"/>
    <col min="10241" max="10241" width="7.140625" style="61" customWidth="1"/>
    <col min="10242" max="10242" width="45.85546875" style="61" customWidth="1"/>
    <col min="10243" max="10243" width="16.28515625" style="61" customWidth="1"/>
    <col min="10244" max="10244" width="17" style="61" customWidth="1"/>
    <col min="10245" max="10245" width="16.85546875" style="61" customWidth="1"/>
    <col min="10246" max="10496" width="9.140625" style="61"/>
    <col min="10497" max="10497" width="7.140625" style="61" customWidth="1"/>
    <col min="10498" max="10498" width="45.85546875" style="61" customWidth="1"/>
    <col min="10499" max="10499" width="16.28515625" style="61" customWidth="1"/>
    <col min="10500" max="10500" width="17" style="61" customWidth="1"/>
    <col min="10501" max="10501" width="16.85546875" style="61" customWidth="1"/>
    <col min="10502" max="10752" width="9.140625" style="61"/>
    <col min="10753" max="10753" width="7.140625" style="61" customWidth="1"/>
    <col min="10754" max="10754" width="45.85546875" style="61" customWidth="1"/>
    <col min="10755" max="10755" width="16.28515625" style="61" customWidth="1"/>
    <col min="10756" max="10756" width="17" style="61" customWidth="1"/>
    <col min="10757" max="10757" width="16.85546875" style="61" customWidth="1"/>
    <col min="10758" max="11008" width="9.140625" style="61"/>
    <col min="11009" max="11009" width="7.140625" style="61" customWidth="1"/>
    <col min="11010" max="11010" width="45.85546875" style="61" customWidth="1"/>
    <col min="11011" max="11011" width="16.28515625" style="61" customWidth="1"/>
    <col min="11012" max="11012" width="17" style="61" customWidth="1"/>
    <col min="11013" max="11013" width="16.85546875" style="61" customWidth="1"/>
    <col min="11014" max="11264" width="9.140625" style="61"/>
    <col min="11265" max="11265" width="7.140625" style="61" customWidth="1"/>
    <col min="11266" max="11266" width="45.85546875" style="61" customWidth="1"/>
    <col min="11267" max="11267" width="16.28515625" style="61" customWidth="1"/>
    <col min="11268" max="11268" width="17" style="61" customWidth="1"/>
    <col min="11269" max="11269" width="16.85546875" style="61" customWidth="1"/>
    <col min="11270" max="11520" width="9.140625" style="61"/>
    <col min="11521" max="11521" width="7.140625" style="61" customWidth="1"/>
    <col min="11522" max="11522" width="45.85546875" style="61" customWidth="1"/>
    <col min="11523" max="11523" width="16.28515625" style="61" customWidth="1"/>
    <col min="11524" max="11524" width="17" style="61" customWidth="1"/>
    <col min="11525" max="11525" width="16.85546875" style="61" customWidth="1"/>
    <col min="11526" max="11776" width="9.140625" style="61"/>
    <col min="11777" max="11777" width="7.140625" style="61" customWidth="1"/>
    <col min="11778" max="11778" width="45.85546875" style="61" customWidth="1"/>
    <col min="11779" max="11779" width="16.28515625" style="61" customWidth="1"/>
    <col min="11780" max="11780" width="17" style="61" customWidth="1"/>
    <col min="11781" max="11781" width="16.85546875" style="61" customWidth="1"/>
    <col min="11782" max="12032" width="9.140625" style="61"/>
    <col min="12033" max="12033" width="7.140625" style="61" customWidth="1"/>
    <col min="12034" max="12034" width="45.85546875" style="61" customWidth="1"/>
    <col min="12035" max="12035" width="16.28515625" style="61" customWidth="1"/>
    <col min="12036" max="12036" width="17" style="61" customWidth="1"/>
    <col min="12037" max="12037" width="16.85546875" style="61" customWidth="1"/>
    <col min="12038" max="12288" width="9.140625" style="61"/>
    <col min="12289" max="12289" width="7.140625" style="61" customWidth="1"/>
    <col min="12290" max="12290" width="45.85546875" style="61" customWidth="1"/>
    <col min="12291" max="12291" width="16.28515625" style="61" customWidth="1"/>
    <col min="12292" max="12292" width="17" style="61" customWidth="1"/>
    <col min="12293" max="12293" width="16.85546875" style="61" customWidth="1"/>
    <col min="12294" max="12544" width="9.140625" style="61"/>
    <col min="12545" max="12545" width="7.140625" style="61" customWidth="1"/>
    <col min="12546" max="12546" width="45.85546875" style="61" customWidth="1"/>
    <col min="12547" max="12547" width="16.28515625" style="61" customWidth="1"/>
    <col min="12548" max="12548" width="17" style="61" customWidth="1"/>
    <col min="12549" max="12549" width="16.85546875" style="61" customWidth="1"/>
    <col min="12550" max="12800" width="9.140625" style="61"/>
    <col min="12801" max="12801" width="7.140625" style="61" customWidth="1"/>
    <col min="12802" max="12802" width="45.85546875" style="61" customWidth="1"/>
    <col min="12803" max="12803" width="16.28515625" style="61" customWidth="1"/>
    <col min="12804" max="12804" width="17" style="61" customWidth="1"/>
    <col min="12805" max="12805" width="16.85546875" style="61" customWidth="1"/>
    <col min="12806" max="13056" width="9.140625" style="61"/>
    <col min="13057" max="13057" width="7.140625" style="61" customWidth="1"/>
    <col min="13058" max="13058" width="45.85546875" style="61" customWidth="1"/>
    <col min="13059" max="13059" width="16.28515625" style="61" customWidth="1"/>
    <col min="13060" max="13060" width="17" style="61" customWidth="1"/>
    <col min="13061" max="13061" width="16.85546875" style="61" customWidth="1"/>
    <col min="13062" max="13312" width="9.140625" style="61"/>
    <col min="13313" max="13313" width="7.140625" style="61" customWidth="1"/>
    <col min="13314" max="13314" width="45.85546875" style="61" customWidth="1"/>
    <col min="13315" max="13315" width="16.28515625" style="61" customWidth="1"/>
    <col min="13316" max="13316" width="17" style="61" customWidth="1"/>
    <col min="13317" max="13317" width="16.85546875" style="61" customWidth="1"/>
    <col min="13318" max="13568" width="9.140625" style="61"/>
    <col min="13569" max="13569" width="7.140625" style="61" customWidth="1"/>
    <col min="13570" max="13570" width="45.85546875" style="61" customWidth="1"/>
    <col min="13571" max="13571" width="16.28515625" style="61" customWidth="1"/>
    <col min="13572" max="13572" width="17" style="61" customWidth="1"/>
    <col min="13573" max="13573" width="16.85546875" style="61" customWidth="1"/>
    <col min="13574" max="13824" width="9.140625" style="61"/>
    <col min="13825" max="13825" width="7.140625" style="61" customWidth="1"/>
    <col min="13826" max="13826" width="45.85546875" style="61" customWidth="1"/>
    <col min="13827" max="13827" width="16.28515625" style="61" customWidth="1"/>
    <col min="13828" max="13828" width="17" style="61" customWidth="1"/>
    <col min="13829" max="13829" width="16.85546875" style="61" customWidth="1"/>
    <col min="13830" max="14080" width="9.140625" style="61"/>
    <col min="14081" max="14081" width="7.140625" style="61" customWidth="1"/>
    <col min="14082" max="14082" width="45.85546875" style="61" customWidth="1"/>
    <col min="14083" max="14083" width="16.28515625" style="61" customWidth="1"/>
    <col min="14084" max="14084" width="17" style="61" customWidth="1"/>
    <col min="14085" max="14085" width="16.85546875" style="61" customWidth="1"/>
    <col min="14086" max="14336" width="9.140625" style="61"/>
    <col min="14337" max="14337" width="7.140625" style="61" customWidth="1"/>
    <col min="14338" max="14338" width="45.85546875" style="61" customWidth="1"/>
    <col min="14339" max="14339" width="16.28515625" style="61" customWidth="1"/>
    <col min="14340" max="14340" width="17" style="61" customWidth="1"/>
    <col min="14341" max="14341" width="16.85546875" style="61" customWidth="1"/>
    <col min="14342" max="14592" width="9.140625" style="61"/>
    <col min="14593" max="14593" width="7.140625" style="61" customWidth="1"/>
    <col min="14594" max="14594" width="45.85546875" style="61" customWidth="1"/>
    <col min="14595" max="14595" width="16.28515625" style="61" customWidth="1"/>
    <col min="14596" max="14596" width="17" style="61" customWidth="1"/>
    <col min="14597" max="14597" width="16.85546875" style="61" customWidth="1"/>
    <col min="14598" max="14848" width="9.140625" style="61"/>
    <col min="14849" max="14849" width="7.140625" style="61" customWidth="1"/>
    <col min="14850" max="14850" width="45.85546875" style="61" customWidth="1"/>
    <col min="14851" max="14851" width="16.28515625" style="61" customWidth="1"/>
    <col min="14852" max="14852" width="17" style="61" customWidth="1"/>
    <col min="14853" max="14853" width="16.85546875" style="61" customWidth="1"/>
    <col min="14854" max="15104" width="9.140625" style="61"/>
    <col min="15105" max="15105" width="7.140625" style="61" customWidth="1"/>
    <col min="15106" max="15106" width="45.85546875" style="61" customWidth="1"/>
    <col min="15107" max="15107" width="16.28515625" style="61" customWidth="1"/>
    <col min="15108" max="15108" width="17" style="61" customWidth="1"/>
    <col min="15109" max="15109" width="16.85546875" style="61" customWidth="1"/>
    <col min="15110" max="15360" width="9.140625" style="61"/>
    <col min="15361" max="15361" width="7.140625" style="61" customWidth="1"/>
    <col min="15362" max="15362" width="45.85546875" style="61" customWidth="1"/>
    <col min="15363" max="15363" width="16.28515625" style="61" customWidth="1"/>
    <col min="15364" max="15364" width="17" style="61" customWidth="1"/>
    <col min="15365" max="15365" width="16.85546875" style="61" customWidth="1"/>
    <col min="15366" max="15616" width="9.140625" style="61"/>
    <col min="15617" max="15617" width="7.140625" style="61" customWidth="1"/>
    <col min="15618" max="15618" width="45.85546875" style="61" customWidth="1"/>
    <col min="15619" max="15619" width="16.28515625" style="61" customWidth="1"/>
    <col min="15620" max="15620" width="17" style="61" customWidth="1"/>
    <col min="15621" max="15621" width="16.85546875" style="61" customWidth="1"/>
    <col min="15622" max="15872" width="9.140625" style="61"/>
    <col min="15873" max="15873" width="7.140625" style="61" customWidth="1"/>
    <col min="15874" max="15874" width="45.85546875" style="61" customWidth="1"/>
    <col min="15875" max="15875" width="16.28515625" style="61" customWidth="1"/>
    <col min="15876" max="15876" width="17" style="61" customWidth="1"/>
    <col min="15877" max="15877" width="16.85546875" style="61" customWidth="1"/>
    <col min="15878" max="16128" width="9.140625" style="61"/>
    <col min="16129" max="16129" width="7.140625" style="61" customWidth="1"/>
    <col min="16130" max="16130" width="45.85546875" style="61" customWidth="1"/>
    <col min="16131" max="16131" width="16.28515625" style="61" customWidth="1"/>
    <col min="16132" max="16132" width="17" style="61" customWidth="1"/>
    <col min="16133" max="16133" width="16.85546875" style="61" customWidth="1"/>
    <col min="16134" max="16384" width="9.140625" style="61"/>
  </cols>
  <sheetData>
    <row r="1" spans="1:5" ht="18.75" x14ac:dyDescent="0.25">
      <c r="A1" s="500" t="s">
        <v>346</v>
      </c>
      <c r="B1" s="500"/>
      <c r="C1" s="500"/>
      <c r="D1" s="500"/>
      <c r="E1" s="500"/>
    </row>
    <row r="2" spans="1:5" ht="84.75" customHeight="1" x14ac:dyDescent="0.25">
      <c r="A2" s="508" t="s">
        <v>460</v>
      </c>
      <c r="B2" s="508"/>
      <c r="C2" s="508"/>
      <c r="D2" s="508"/>
      <c r="E2" s="508"/>
    </row>
    <row r="3" spans="1:5" ht="15.75" customHeight="1" x14ac:dyDescent="0.25">
      <c r="A3" s="509" t="s">
        <v>51</v>
      </c>
      <c r="B3" s="509" t="s">
        <v>52</v>
      </c>
      <c r="C3" s="509" t="s">
        <v>2</v>
      </c>
      <c r="D3" s="509"/>
      <c r="E3" s="509"/>
    </row>
    <row r="4" spans="1:5" ht="15.75" customHeight="1" x14ac:dyDescent="0.25">
      <c r="A4" s="509"/>
      <c r="B4" s="509"/>
      <c r="C4" s="504" t="s">
        <v>3</v>
      </c>
      <c r="D4" s="511" t="s">
        <v>4</v>
      </c>
      <c r="E4" s="512"/>
    </row>
    <row r="5" spans="1:5" ht="15.75" customHeight="1" x14ac:dyDescent="0.25">
      <c r="A5" s="509" t="s">
        <v>51</v>
      </c>
      <c r="B5" s="510" t="s">
        <v>52</v>
      </c>
      <c r="C5" s="505"/>
      <c r="D5" s="313" t="s">
        <v>5</v>
      </c>
      <c r="E5" s="313" t="s">
        <v>6</v>
      </c>
    </row>
    <row r="6" spans="1:5" ht="18.75" x14ac:dyDescent="0.25">
      <c r="A6" s="314" t="s">
        <v>53</v>
      </c>
      <c r="B6" s="315" t="s">
        <v>54</v>
      </c>
      <c r="C6" s="315" t="s">
        <v>55</v>
      </c>
      <c r="D6" s="315">
        <v>4</v>
      </c>
      <c r="E6" s="315">
        <v>5</v>
      </c>
    </row>
    <row r="7" spans="1:5" ht="18.75" x14ac:dyDescent="0.25">
      <c r="A7" s="313">
        <v>1</v>
      </c>
      <c r="B7" s="326" t="s">
        <v>7</v>
      </c>
      <c r="C7" s="323">
        <v>3248.9</v>
      </c>
      <c r="D7" s="323">
        <v>3378.8</v>
      </c>
      <c r="E7" s="323">
        <v>3422.6</v>
      </c>
    </row>
    <row r="8" spans="1:5" ht="18.75" x14ac:dyDescent="0.25">
      <c r="A8" s="313">
        <f>A7+1</f>
        <v>2</v>
      </c>
      <c r="B8" s="326" t="s">
        <v>8</v>
      </c>
      <c r="C8" s="323">
        <v>0</v>
      </c>
      <c r="D8" s="323">
        <v>0</v>
      </c>
      <c r="E8" s="323">
        <v>0</v>
      </c>
    </row>
    <row r="9" spans="1:5" ht="18.75" x14ac:dyDescent="0.25">
      <c r="A9" s="313">
        <f t="shared" ref="A9:A48" si="0">A8+1</f>
        <v>3</v>
      </c>
      <c r="B9" s="326" t="s">
        <v>9</v>
      </c>
      <c r="C9" s="323">
        <v>0</v>
      </c>
      <c r="D9" s="323">
        <v>0</v>
      </c>
      <c r="E9" s="323">
        <v>0</v>
      </c>
    </row>
    <row r="10" spans="1:5" ht="18.75" x14ac:dyDescent="0.25">
      <c r="A10" s="313">
        <f t="shared" si="0"/>
        <v>4</v>
      </c>
      <c r="B10" s="326" t="s">
        <v>10</v>
      </c>
      <c r="C10" s="323">
        <v>5279.2</v>
      </c>
      <c r="D10" s="323">
        <v>5490.4</v>
      </c>
      <c r="E10" s="323">
        <v>5592.2</v>
      </c>
    </row>
    <row r="11" spans="1:5" ht="18.75" x14ac:dyDescent="0.25">
      <c r="A11" s="313">
        <f t="shared" si="0"/>
        <v>5</v>
      </c>
      <c r="B11" s="326" t="s">
        <v>16</v>
      </c>
      <c r="C11" s="323">
        <v>1924.3</v>
      </c>
      <c r="D11" s="323">
        <v>2001.3</v>
      </c>
      <c r="E11" s="323">
        <v>2014.9</v>
      </c>
    </row>
    <row r="12" spans="1:5" ht="18.75" x14ac:dyDescent="0.25">
      <c r="A12" s="313">
        <f t="shared" si="0"/>
        <v>6</v>
      </c>
      <c r="B12" s="326" t="s">
        <v>17</v>
      </c>
      <c r="C12" s="323">
        <v>1772.6</v>
      </c>
      <c r="D12" s="323">
        <v>1843.6</v>
      </c>
      <c r="E12" s="323">
        <v>1851.3</v>
      </c>
    </row>
    <row r="13" spans="1:5" ht="18.75" x14ac:dyDescent="0.25">
      <c r="A13" s="313">
        <f t="shared" si="0"/>
        <v>7</v>
      </c>
      <c r="B13" s="326" t="s">
        <v>11</v>
      </c>
      <c r="C13" s="323">
        <v>8547.6</v>
      </c>
      <c r="D13" s="323">
        <v>8889.5</v>
      </c>
      <c r="E13" s="323">
        <v>9063.2999999999993</v>
      </c>
    </row>
    <row r="14" spans="1:5" ht="18.75" x14ac:dyDescent="0.25">
      <c r="A14" s="313">
        <f t="shared" si="0"/>
        <v>8</v>
      </c>
      <c r="B14" s="327" t="s">
        <v>18</v>
      </c>
      <c r="C14" s="323">
        <v>1863.6</v>
      </c>
      <c r="D14" s="323">
        <v>1938.1</v>
      </c>
      <c r="E14" s="323">
        <v>1948.2</v>
      </c>
    </row>
    <row r="15" spans="1:5" ht="18.75" x14ac:dyDescent="0.25">
      <c r="A15" s="313">
        <f t="shared" si="0"/>
        <v>9</v>
      </c>
      <c r="B15" s="328" t="s">
        <v>12</v>
      </c>
      <c r="C15" s="323">
        <v>3613.1</v>
      </c>
      <c r="D15" s="323">
        <v>3757.6</v>
      </c>
      <c r="E15" s="323">
        <v>3802.5</v>
      </c>
    </row>
    <row r="16" spans="1:5" ht="18.75" x14ac:dyDescent="0.25">
      <c r="A16" s="313">
        <f t="shared" si="0"/>
        <v>10</v>
      </c>
      <c r="B16" s="328" t="s">
        <v>19</v>
      </c>
      <c r="C16" s="323">
        <v>1759.2</v>
      </c>
      <c r="D16" s="323">
        <v>1829.5</v>
      </c>
      <c r="E16" s="323">
        <v>1832.5</v>
      </c>
    </row>
    <row r="17" spans="1:17" ht="18.75" x14ac:dyDescent="0.25">
      <c r="A17" s="313">
        <f t="shared" si="0"/>
        <v>11</v>
      </c>
      <c r="B17" s="328" t="s">
        <v>20</v>
      </c>
      <c r="C17" s="323">
        <v>1493.3</v>
      </c>
      <c r="D17" s="323">
        <v>1553</v>
      </c>
      <c r="E17" s="323">
        <v>1536.9</v>
      </c>
    </row>
    <row r="18" spans="1:17" ht="18.75" x14ac:dyDescent="0.25">
      <c r="A18" s="313">
        <f t="shared" si="0"/>
        <v>12</v>
      </c>
      <c r="B18" s="328" t="s">
        <v>13</v>
      </c>
      <c r="C18" s="323">
        <v>2731.6</v>
      </c>
      <c r="D18" s="323">
        <v>2840.9</v>
      </c>
      <c r="E18" s="323">
        <v>2870.8</v>
      </c>
    </row>
    <row r="19" spans="1:17" ht="18.75" x14ac:dyDescent="0.25">
      <c r="A19" s="313">
        <f t="shared" si="0"/>
        <v>13</v>
      </c>
      <c r="B19" s="326" t="s">
        <v>21</v>
      </c>
      <c r="C19" s="323">
        <v>2070.8000000000002</v>
      </c>
      <c r="D19" s="323">
        <v>2153.6</v>
      </c>
      <c r="E19" s="323">
        <v>2154.1999999999998</v>
      </c>
      <c r="Q19" s="212"/>
    </row>
    <row r="20" spans="1:17" ht="18.75" x14ac:dyDescent="0.25">
      <c r="A20" s="313">
        <f t="shared" si="0"/>
        <v>14</v>
      </c>
      <c r="B20" s="318" t="s">
        <v>14</v>
      </c>
      <c r="C20" s="323">
        <v>3673.9</v>
      </c>
      <c r="D20" s="323">
        <v>3820.8</v>
      </c>
      <c r="E20" s="323">
        <v>3870</v>
      </c>
    </row>
    <row r="21" spans="1:17" ht="18.75" x14ac:dyDescent="0.25">
      <c r="A21" s="313">
        <f t="shared" si="0"/>
        <v>15</v>
      </c>
      <c r="B21" s="320" t="s">
        <v>22</v>
      </c>
      <c r="C21" s="323">
        <v>1295.3</v>
      </c>
      <c r="D21" s="323">
        <v>1347.1</v>
      </c>
      <c r="E21" s="323">
        <v>1338.4</v>
      </c>
    </row>
    <row r="22" spans="1:17" ht="18.75" x14ac:dyDescent="0.25">
      <c r="A22" s="313">
        <f t="shared" si="0"/>
        <v>16</v>
      </c>
      <c r="B22" s="320" t="s">
        <v>23</v>
      </c>
      <c r="C22" s="323">
        <v>1396.1</v>
      </c>
      <c r="D22" s="323">
        <v>1452</v>
      </c>
      <c r="E22" s="323">
        <v>1442.8</v>
      </c>
    </row>
    <row r="23" spans="1:17" ht="18.75" x14ac:dyDescent="0.25">
      <c r="A23" s="313">
        <f t="shared" si="0"/>
        <v>17</v>
      </c>
      <c r="B23" s="321" t="s">
        <v>24</v>
      </c>
      <c r="C23" s="323">
        <v>1956.5</v>
      </c>
      <c r="D23" s="323">
        <v>2034.8</v>
      </c>
      <c r="E23" s="323">
        <v>2040.1</v>
      </c>
    </row>
    <row r="24" spans="1:17" ht="18.75" x14ac:dyDescent="0.25">
      <c r="A24" s="313">
        <f t="shared" si="0"/>
        <v>18</v>
      </c>
      <c r="B24" s="326" t="s">
        <v>15</v>
      </c>
      <c r="C24" s="323">
        <v>4781.6000000000004</v>
      </c>
      <c r="D24" s="323">
        <v>4972.8999999999996</v>
      </c>
      <c r="E24" s="323">
        <v>5042.5</v>
      </c>
    </row>
    <row r="25" spans="1:17" ht="18.75" x14ac:dyDescent="0.25">
      <c r="A25" s="313">
        <f t="shared" si="0"/>
        <v>19</v>
      </c>
      <c r="B25" s="326" t="s">
        <v>25</v>
      </c>
      <c r="C25" s="323">
        <v>4623.2</v>
      </c>
      <c r="D25" s="323">
        <v>4808.2</v>
      </c>
      <c r="E25" s="323">
        <v>4884.2</v>
      </c>
    </row>
    <row r="26" spans="1:17" ht="18.75" x14ac:dyDescent="0.25">
      <c r="A26" s="313">
        <f t="shared" si="0"/>
        <v>20</v>
      </c>
      <c r="B26" s="326" t="s">
        <v>26</v>
      </c>
      <c r="C26" s="325">
        <v>0</v>
      </c>
      <c r="D26" s="323">
        <v>0</v>
      </c>
      <c r="E26" s="323">
        <v>0</v>
      </c>
    </row>
    <row r="27" spans="1:17" ht="18.75" x14ac:dyDescent="0.25">
      <c r="A27" s="313">
        <f t="shared" si="0"/>
        <v>21</v>
      </c>
      <c r="B27" s="326" t="s">
        <v>27</v>
      </c>
      <c r="C27" s="323">
        <v>4494.8</v>
      </c>
      <c r="D27" s="325">
        <v>4674.6000000000004</v>
      </c>
      <c r="E27" s="323">
        <v>4747.8</v>
      </c>
    </row>
    <row r="28" spans="1:17" ht="18.75" x14ac:dyDescent="0.25">
      <c r="A28" s="313">
        <f t="shared" si="0"/>
        <v>22</v>
      </c>
      <c r="B28" s="326" t="s">
        <v>28</v>
      </c>
      <c r="C28" s="323">
        <v>1066.2</v>
      </c>
      <c r="D28" s="323">
        <v>1108.9000000000001</v>
      </c>
      <c r="E28" s="323">
        <v>1107.5</v>
      </c>
    </row>
    <row r="29" spans="1:17" ht="18.75" x14ac:dyDescent="0.25">
      <c r="A29" s="313">
        <f t="shared" si="0"/>
        <v>23</v>
      </c>
      <c r="B29" s="326" t="s">
        <v>29</v>
      </c>
      <c r="C29" s="323">
        <v>2092.8000000000002</v>
      </c>
      <c r="D29" s="323">
        <v>2176.5</v>
      </c>
      <c r="E29" s="323">
        <v>2182</v>
      </c>
    </row>
    <row r="30" spans="1:17" ht="18.75" x14ac:dyDescent="0.25">
      <c r="A30" s="313">
        <f t="shared" si="0"/>
        <v>24</v>
      </c>
      <c r="B30" s="326" t="s">
        <v>30</v>
      </c>
      <c r="C30" s="323">
        <v>5403.7</v>
      </c>
      <c r="D30" s="323">
        <v>5619.8</v>
      </c>
      <c r="E30" s="323">
        <v>5715.9</v>
      </c>
    </row>
    <row r="31" spans="1:17" ht="18.75" x14ac:dyDescent="0.25">
      <c r="A31" s="313">
        <f t="shared" si="0"/>
        <v>25</v>
      </c>
      <c r="B31" s="326" t="s">
        <v>31</v>
      </c>
      <c r="C31" s="323">
        <v>2991.3832641182912</v>
      </c>
      <c r="D31" s="323">
        <v>3111</v>
      </c>
      <c r="E31" s="323">
        <v>3147.7</v>
      </c>
    </row>
    <row r="32" spans="1:17" ht="18.75" x14ac:dyDescent="0.25">
      <c r="A32" s="313">
        <f t="shared" si="0"/>
        <v>26</v>
      </c>
      <c r="B32" s="326" t="s">
        <v>32</v>
      </c>
      <c r="C32" s="323">
        <v>1149</v>
      </c>
      <c r="D32" s="323">
        <v>1195</v>
      </c>
      <c r="E32" s="323">
        <v>1193</v>
      </c>
    </row>
    <row r="33" spans="1:5" ht="18.75" x14ac:dyDescent="0.25">
      <c r="A33" s="313">
        <f t="shared" si="0"/>
        <v>27</v>
      </c>
      <c r="B33" s="326" t="s">
        <v>33</v>
      </c>
      <c r="C33" s="323">
        <v>2137.6</v>
      </c>
      <c r="D33" s="323">
        <v>2223.1</v>
      </c>
      <c r="E33" s="323">
        <v>2232.8000000000002</v>
      </c>
    </row>
    <row r="34" spans="1:5" ht="18.75" x14ac:dyDescent="0.25">
      <c r="A34" s="313">
        <f t="shared" si="0"/>
        <v>28</v>
      </c>
      <c r="B34" s="326" t="s">
        <v>34</v>
      </c>
      <c r="C34" s="323">
        <v>11224.7</v>
      </c>
      <c r="D34" s="323">
        <v>11673.7</v>
      </c>
      <c r="E34" s="323">
        <v>11919.4</v>
      </c>
    </row>
    <row r="35" spans="1:5" ht="18.75" x14ac:dyDescent="0.25">
      <c r="A35" s="313">
        <f t="shared" si="0"/>
        <v>29</v>
      </c>
      <c r="B35" s="326" t="s">
        <v>35</v>
      </c>
      <c r="C35" s="323">
        <v>2038.3</v>
      </c>
      <c r="D35" s="323">
        <v>2119.8000000000002</v>
      </c>
      <c r="E35" s="323">
        <v>2130</v>
      </c>
    </row>
    <row r="36" spans="1:5" ht="18.75" x14ac:dyDescent="0.25">
      <c r="A36" s="313">
        <f t="shared" si="0"/>
        <v>30</v>
      </c>
      <c r="B36" s="326" t="s">
        <v>36</v>
      </c>
      <c r="C36" s="323">
        <v>3518.7</v>
      </c>
      <c r="D36" s="323">
        <v>3659.5</v>
      </c>
      <c r="E36" s="323">
        <v>3707.8</v>
      </c>
    </row>
    <row r="37" spans="1:5" ht="18.75" x14ac:dyDescent="0.25">
      <c r="A37" s="313">
        <f t="shared" si="0"/>
        <v>31</v>
      </c>
      <c r="B37" s="326" t="s">
        <v>37</v>
      </c>
      <c r="C37" s="323">
        <v>2204.6999999999998</v>
      </c>
      <c r="D37" s="323">
        <v>2292.9</v>
      </c>
      <c r="E37" s="323">
        <v>2299.1</v>
      </c>
    </row>
    <row r="38" spans="1:5" ht="18.75" x14ac:dyDescent="0.25">
      <c r="A38" s="313">
        <f t="shared" si="0"/>
        <v>32</v>
      </c>
      <c r="B38" s="326" t="s">
        <v>38</v>
      </c>
      <c r="C38" s="323">
        <v>1507.5</v>
      </c>
      <c r="D38" s="323">
        <v>1567.8</v>
      </c>
      <c r="E38" s="323">
        <v>1551.4</v>
      </c>
    </row>
    <row r="39" spans="1:5" ht="18.75" x14ac:dyDescent="0.25">
      <c r="A39" s="313">
        <f t="shared" si="0"/>
        <v>33</v>
      </c>
      <c r="B39" s="326" t="s">
        <v>39</v>
      </c>
      <c r="C39" s="323">
        <v>2041.7</v>
      </c>
      <c r="D39" s="323">
        <v>2123.3000000000002</v>
      </c>
      <c r="E39" s="323">
        <v>2128.1999999999998</v>
      </c>
    </row>
    <row r="40" spans="1:5" ht="18.75" x14ac:dyDescent="0.25">
      <c r="A40" s="313">
        <f t="shared" si="0"/>
        <v>34</v>
      </c>
      <c r="B40" s="326" t="s">
        <v>40</v>
      </c>
      <c r="C40" s="323">
        <v>1530.3</v>
      </c>
      <c r="D40" s="323">
        <v>1591.5</v>
      </c>
      <c r="E40" s="323">
        <v>1587.8</v>
      </c>
    </row>
    <row r="41" spans="1:5" ht="18.75" x14ac:dyDescent="0.25">
      <c r="A41" s="313">
        <f t="shared" si="0"/>
        <v>35</v>
      </c>
      <c r="B41" s="326" t="s">
        <v>41</v>
      </c>
      <c r="C41" s="323">
        <v>1623.5</v>
      </c>
      <c r="D41" s="323">
        <v>1688.4</v>
      </c>
      <c r="E41" s="323">
        <v>1681.7</v>
      </c>
    </row>
    <row r="42" spans="1:5" ht="18.75" x14ac:dyDescent="0.25">
      <c r="A42" s="313">
        <f t="shared" si="0"/>
        <v>36</v>
      </c>
      <c r="B42" s="326" t="s">
        <v>42</v>
      </c>
      <c r="C42" s="323">
        <v>0</v>
      </c>
      <c r="D42" s="323">
        <v>0</v>
      </c>
      <c r="E42" s="323">
        <v>1808.7</v>
      </c>
    </row>
    <row r="43" spans="1:5" ht="18.75" x14ac:dyDescent="0.25">
      <c r="A43" s="313">
        <f t="shared" si="0"/>
        <v>37</v>
      </c>
      <c r="B43" s="326" t="s">
        <v>43</v>
      </c>
      <c r="C43" s="323">
        <v>2848.3</v>
      </c>
      <c r="D43" s="323">
        <v>2962.2</v>
      </c>
      <c r="E43" s="323">
        <v>2997.6</v>
      </c>
    </row>
    <row r="44" spans="1:5" ht="18.75" x14ac:dyDescent="0.25">
      <c r="A44" s="313">
        <f t="shared" si="0"/>
        <v>38</v>
      </c>
      <c r="B44" s="326" t="s">
        <v>44</v>
      </c>
      <c r="C44" s="323">
        <v>2324</v>
      </c>
      <c r="D44" s="323">
        <v>2417</v>
      </c>
      <c r="E44" s="323">
        <v>2434.6999999999998</v>
      </c>
    </row>
    <row r="45" spans="1:5" ht="18.75" x14ac:dyDescent="0.25">
      <c r="A45" s="313">
        <f t="shared" si="0"/>
        <v>39</v>
      </c>
      <c r="B45" s="326" t="s">
        <v>45</v>
      </c>
      <c r="C45" s="323">
        <v>2122.3000000000002</v>
      </c>
      <c r="D45" s="323">
        <v>2207.1999999999998</v>
      </c>
      <c r="E45" s="323">
        <v>2220.9</v>
      </c>
    </row>
    <row r="46" spans="1:5" ht="18.75" x14ac:dyDescent="0.25">
      <c r="A46" s="313">
        <f t="shared" si="0"/>
        <v>40</v>
      </c>
      <c r="B46" s="326" t="s">
        <v>46</v>
      </c>
      <c r="C46" s="323">
        <v>1557.8</v>
      </c>
      <c r="D46" s="323">
        <v>1620.1</v>
      </c>
      <c r="E46" s="323">
        <v>1619</v>
      </c>
    </row>
    <row r="47" spans="1:5" ht="18.75" x14ac:dyDescent="0.25">
      <c r="A47" s="313">
        <f t="shared" si="0"/>
        <v>41</v>
      </c>
      <c r="B47" s="326" t="s">
        <v>47</v>
      </c>
      <c r="C47" s="323">
        <v>2459.9</v>
      </c>
      <c r="D47" s="323">
        <v>2558.3000000000002</v>
      </c>
      <c r="E47" s="323">
        <v>2578.4</v>
      </c>
    </row>
    <row r="48" spans="1:5" ht="18.75" x14ac:dyDescent="0.25">
      <c r="A48" s="313">
        <f t="shared" si="0"/>
        <v>42</v>
      </c>
      <c r="B48" s="326" t="s">
        <v>48</v>
      </c>
      <c r="C48" s="323">
        <v>0</v>
      </c>
      <c r="D48" s="323">
        <v>0</v>
      </c>
      <c r="E48" s="323">
        <v>1512</v>
      </c>
    </row>
    <row r="49" spans="1:5" ht="18.75" x14ac:dyDescent="0.25">
      <c r="A49" s="329" t="s">
        <v>58</v>
      </c>
      <c r="B49" s="330" t="s">
        <v>49</v>
      </c>
      <c r="C49" s="324">
        <f>SUM(C7:C48)</f>
        <v>108367.98326411829</v>
      </c>
      <c r="D49" s="324">
        <f>SUM(D7:D48)</f>
        <v>112702.7</v>
      </c>
      <c r="E49" s="324">
        <f>SUM(E7:E48)</f>
        <v>117210.79999999997</v>
      </c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  <row r="55" spans="1:5" x14ac:dyDescent="0.25">
      <c r="A55" s="71"/>
      <c r="B55" s="71"/>
      <c r="C55" s="71"/>
      <c r="D55" s="71"/>
      <c r="E55" s="71"/>
    </row>
    <row r="56" spans="1:5" x14ac:dyDescent="0.25">
      <c r="A56" s="71"/>
      <c r="B56" s="71"/>
      <c r="C56" s="71"/>
      <c r="D56" s="71"/>
      <c r="E56" s="71"/>
    </row>
    <row r="57" spans="1:5" x14ac:dyDescent="0.25">
      <c r="A57" s="71"/>
      <c r="B57" s="71"/>
      <c r="C57" s="71"/>
      <c r="D57" s="71"/>
      <c r="E57" s="71"/>
    </row>
    <row r="58" spans="1:5" x14ac:dyDescent="0.25">
      <c r="A58" s="71"/>
      <c r="B58" s="71"/>
      <c r="C58" s="71"/>
      <c r="D58" s="71"/>
      <c r="E58" s="71"/>
    </row>
    <row r="59" spans="1:5" x14ac:dyDescent="0.25">
      <c r="A59" s="71"/>
      <c r="B59" s="71"/>
      <c r="C59" s="71"/>
      <c r="D59" s="71"/>
      <c r="E59" s="71"/>
    </row>
    <row r="60" spans="1:5" x14ac:dyDescent="0.25">
      <c r="A60" s="71"/>
      <c r="B60" s="71"/>
      <c r="C60" s="71"/>
      <c r="D60" s="71"/>
      <c r="E60" s="71"/>
    </row>
    <row r="61" spans="1:5" x14ac:dyDescent="0.25">
      <c r="A61" s="71"/>
      <c r="B61" s="71"/>
      <c r="C61" s="71"/>
      <c r="D61" s="71"/>
      <c r="E61" s="71"/>
    </row>
    <row r="62" spans="1:5" x14ac:dyDescent="0.25">
      <c r="A62" s="71"/>
      <c r="B62" s="71"/>
      <c r="C62" s="71"/>
      <c r="D62" s="71"/>
      <c r="E62" s="71"/>
    </row>
    <row r="63" spans="1:5" x14ac:dyDescent="0.25">
      <c r="A63" s="71"/>
      <c r="B63" s="71"/>
      <c r="C63" s="71"/>
      <c r="D63" s="71"/>
      <c r="E63" s="71"/>
    </row>
    <row r="64" spans="1:5" x14ac:dyDescent="0.25">
      <c r="A64" s="71"/>
      <c r="B64" s="71"/>
      <c r="C64" s="71"/>
      <c r="D64" s="71"/>
      <c r="E64" s="71"/>
    </row>
    <row r="65" spans="1:5" x14ac:dyDescent="0.25">
      <c r="A65" s="71"/>
      <c r="B65" s="71"/>
      <c r="C65" s="71"/>
      <c r="D65" s="71"/>
      <c r="E65" s="71"/>
    </row>
    <row r="66" spans="1:5" x14ac:dyDescent="0.25">
      <c r="A66" s="71"/>
      <c r="B66" s="71"/>
      <c r="C66" s="71"/>
      <c r="D66" s="71"/>
      <c r="E66" s="71"/>
    </row>
    <row r="67" spans="1:5" x14ac:dyDescent="0.25">
      <c r="A67" s="71"/>
      <c r="B67" s="71"/>
      <c r="C67" s="71"/>
      <c r="D67" s="71"/>
      <c r="E67" s="71"/>
    </row>
    <row r="68" spans="1:5" x14ac:dyDescent="0.25">
      <c r="A68" s="71"/>
      <c r="B68" s="71"/>
      <c r="C68" s="71"/>
      <c r="D68" s="71"/>
      <c r="E68" s="71"/>
    </row>
    <row r="69" spans="1:5" x14ac:dyDescent="0.25">
      <c r="A69" s="71"/>
      <c r="B69" s="71"/>
      <c r="C69" s="71"/>
      <c r="D69" s="71"/>
      <c r="E69" s="71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3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69"/>
  <sheetViews>
    <sheetView view="pageBreakPreview" zoomScaleNormal="100" zoomScaleSheetLayoutView="100" workbookViewId="0">
      <selection activeCell="N12" sqref="N12"/>
    </sheetView>
  </sheetViews>
  <sheetFormatPr defaultRowHeight="18" x14ac:dyDescent="0.25"/>
  <cols>
    <col min="1" max="1" width="7.140625" style="61" customWidth="1"/>
    <col min="2" max="2" width="52.5703125" style="61" customWidth="1"/>
    <col min="3" max="5" width="13.7109375" style="61" customWidth="1"/>
    <col min="6" max="256" width="9.140625" style="61"/>
    <col min="257" max="257" width="7.140625" style="61" customWidth="1"/>
    <col min="258" max="258" width="45.85546875" style="61" customWidth="1"/>
    <col min="259" max="261" width="13.7109375" style="61" customWidth="1"/>
    <col min="262" max="512" width="9.140625" style="61"/>
    <col min="513" max="513" width="7.140625" style="61" customWidth="1"/>
    <col min="514" max="514" width="45.85546875" style="61" customWidth="1"/>
    <col min="515" max="517" width="13.7109375" style="61" customWidth="1"/>
    <col min="518" max="768" width="9.140625" style="61"/>
    <col min="769" max="769" width="7.140625" style="61" customWidth="1"/>
    <col min="770" max="770" width="45.85546875" style="61" customWidth="1"/>
    <col min="771" max="773" width="13.7109375" style="61" customWidth="1"/>
    <col min="774" max="1024" width="9.140625" style="61"/>
    <col min="1025" max="1025" width="7.140625" style="61" customWidth="1"/>
    <col min="1026" max="1026" width="45.85546875" style="61" customWidth="1"/>
    <col min="1027" max="1029" width="13.7109375" style="61" customWidth="1"/>
    <col min="1030" max="1280" width="9.140625" style="61"/>
    <col min="1281" max="1281" width="7.140625" style="61" customWidth="1"/>
    <col min="1282" max="1282" width="45.85546875" style="61" customWidth="1"/>
    <col min="1283" max="1285" width="13.7109375" style="61" customWidth="1"/>
    <col min="1286" max="1536" width="9.140625" style="61"/>
    <col min="1537" max="1537" width="7.140625" style="61" customWidth="1"/>
    <col min="1538" max="1538" width="45.85546875" style="61" customWidth="1"/>
    <col min="1539" max="1541" width="13.7109375" style="61" customWidth="1"/>
    <col min="1542" max="1792" width="9.140625" style="61"/>
    <col min="1793" max="1793" width="7.140625" style="61" customWidth="1"/>
    <col min="1794" max="1794" width="45.85546875" style="61" customWidth="1"/>
    <col min="1795" max="1797" width="13.7109375" style="61" customWidth="1"/>
    <col min="1798" max="2048" width="9.140625" style="61"/>
    <col min="2049" max="2049" width="7.140625" style="61" customWidth="1"/>
    <col min="2050" max="2050" width="45.85546875" style="61" customWidth="1"/>
    <col min="2051" max="2053" width="13.7109375" style="61" customWidth="1"/>
    <col min="2054" max="2304" width="9.140625" style="61"/>
    <col min="2305" max="2305" width="7.140625" style="61" customWidth="1"/>
    <col min="2306" max="2306" width="45.85546875" style="61" customWidth="1"/>
    <col min="2307" max="2309" width="13.7109375" style="61" customWidth="1"/>
    <col min="2310" max="2560" width="9.140625" style="61"/>
    <col min="2561" max="2561" width="7.140625" style="61" customWidth="1"/>
    <col min="2562" max="2562" width="45.85546875" style="61" customWidth="1"/>
    <col min="2563" max="2565" width="13.7109375" style="61" customWidth="1"/>
    <col min="2566" max="2816" width="9.140625" style="61"/>
    <col min="2817" max="2817" width="7.140625" style="61" customWidth="1"/>
    <col min="2818" max="2818" width="45.85546875" style="61" customWidth="1"/>
    <col min="2819" max="2821" width="13.7109375" style="61" customWidth="1"/>
    <col min="2822" max="3072" width="9.140625" style="61"/>
    <col min="3073" max="3073" width="7.140625" style="61" customWidth="1"/>
    <col min="3074" max="3074" width="45.85546875" style="61" customWidth="1"/>
    <col min="3075" max="3077" width="13.7109375" style="61" customWidth="1"/>
    <col min="3078" max="3328" width="9.140625" style="61"/>
    <col min="3329" max="3329" width="7.140625" style="61" customWidth="1"/>
    <col min="3330" max="3330" width="45.85546875" style="61" customWidth="1"/>
    <col min="3331" max="3333" width="13.7109375" style="61" customWidth="1"/>
    <col min="3334" max="3584" width="9.140625" style="61"/>
    <col min="3585" max="3585" width="7.140625" style="61" customWidth="1"/>
    <col min="3586" max="3586" width="45.85546875" style="61" customWidth="1"/>
    <col min="3587" max="3589" width="13.7109375" style="61" customWidth="1"/>
    <col min="3590" max="3840" width="9.140625" style="61"/>
    <col min="3841" max="3841" width="7.140625" style="61" customWidth="1"/>
    <col min="3842" max="3842" width="45.85546875" style="61" customWidth="1"/>
    <col min="3843" max="3845" width="13.7109375" style="61" customWidth="1"/>
    <col min="3846" max="4096" width="9.140625" style="61"/>
    <col min="4097" max="4097" width="7.140625" style="61" customWidth="1"/>
    <col min="4098" max="4098" width="45.85546875" style="61" customWidth="1"/>
    <col min="4099" max="4101" width="13.7109375" style="61" customWidth="1"/>
    <col min="4102" max="4352" width="9.140625" style="61"/>
    <col min="4353" max="4353" width="7.140625" style="61" customWidth="1"/>
    <col min="4354" max="4354" width="45.85546875" style="61" customWidth="1"/>
    <col min="4355" max="4357" width="13.7109375" style="61" customWidth="1"/>
    <col min="4358" max="4608" width="9.140625" style="61"/>
    <col min="4609" max="4609" width="7.140625" style="61" customWidth="1"/>
    <col min="4610" max="4610" width="45.85546875" style="61" customWidth="1"/>
    <col min="4611" max="4613" width="13.7109375" style="61" customWidth="1"/>
    <col min="4614" max="4864" width="9.140625" style="61"/>
    <col min="4865" max="4865" width="7.140625" style="61" customWidth="1"/>
    <col min="4866" max="4866" width="45.85546875" style="61" customWidth="1"/>
    <col min="4867" max="4869" width="13.7109375" style="61" customWidth="1"/>
    <col min="4870" max="5120" width="9.140625" style="61"/>
    <col min="5121" max="5121" width="7.140625" style="61" customWidth="1"/>
    <col min="5122" max="5122" width="45.85546875" style="61" customWidth="1"/>
    <col min="5123" max="5125" width="13.7109375" style="61" customWidth="1"/>
    <col min="5126" max="5376" width="9.140625" style="61"/>
    <col min="5377" max="5377" width="7.140625" style="61" customWidth="1"/>
    <col min="5378" max="5378" width="45.85546875" style="61" customWidth="1"/>
    <col min="5379" max="5381" width="13.7109375" style="61" customWidth="1"/>
    <col min="5382" max="5632" width="9.140625" style="61"/>
    <col min="5633" max="5633" width="7.140625" style="61" customWidth="1"/>
    <col min="5634" max="5634" width="45.85546875" style="61" customWidth="1"/>
    <col min="5635" max="5637" width="13.7109375" style="61" customWidth="1"/>
    <col min="5638" max="5888" width="9.140625" style="61"/>
    <col min="5889" max="5889" width="7.140625" style="61" customWidth="1"/>
    <col min="5890" max="5890" width="45.85546875" style="61" customWidth="1"/>
    <col min="5891" max="5893" width="13.7109375" style="61" customWidth="1"/>
    <col min="5894" max="6144" width="9.140625" style="61"/>
    <col min="6145" max="6145" width="7.140625" style="61" customWidth="1"/>
    <col min="6146" max="6146" width="45.85546875" style="61" customWidth="1"/>
    <col min="6147" max="6149" width="13.7109375" style="61" customWidth="1"/>
    <col min="6150" max="6400" width="9.140625" style="61"/>
    <col min="6401" max="6401" width="7.140625" style="61" customWidth="1"/>
    <col min="6402" max="6402" width="45.85546875" style="61" customWidth="1"/>
    <col min="6403" max="6405" width="13.7109375" style="61" customWidth="1"/>
    <col min="6406" max="6656" width="9.140625" style="61"/>
    <col min="6657" max="6657" width="7.140625" style="61" customWidth="1"/>
    <col min="6658" max="6658" width="45.85546875" style="61" customWidth="1"/>
    <col min="6659" max="6661" width="13.7109375" style="61" customWidth="1"/>
    <col min="6662" max="6912" width="9.140625" style="61"/>
    <col min="6913" max="6913" width="7.140625" style="61" customWidth="1"/>
    <col min="6914" max="6914" width="45.85546875" style="61" customWidth="1"/>
    <col min="6915" max="6917" width="13.7109375" style="61" customWidth="1"/>
    <col min="6918" max="7168" width="9.140625" style="61"/>
    <col min="7169" max="7169" width="7.140625" style="61" customWidth="1"/>
    <col min="7170" max="7170" width="45.85546875" style="61" customWidth="1"/>
    <col min="7171" max="7173" width="13.7109375" style="61" customWidth="1"/>
    <col min="7174" max="7424" width="9.140625" style="61"/>
    <col min="7425" max="7425" width="7.140625" style="61" customWidth="1"/>
    <col min="7426" max="7426" width="45.85546875" style="61" customWidth="1"/>
    <col min="7427" max="7429" width="13.7109375" style="61" customWidth="1"/>
    <col min="7430" max="7680" width="9.140625" style="61"/>
    <col min="7681" max="7681" width="7.140625" style="61" customWidth="1"/>
    <col min="7682" max="7682" width="45.85546875" style="61" customWidth="1"/>
    <col min="7683" max="7685" width="13.7109375" style="61" customWidth="1"/>
    <col min="7686" max="7936" width="9.140625" style="61"/>
    <col min="7937" max="7937" width="7.140625" style="61" customWidth="1"/>
    <col min="7938" max="7938" width="45.85546875" style="61" customWidth="1"/>
    <col min="7939" max="7941" width="13.7109375" style="61" customWidth="1"/>
    <col min="7942" max="8192" width="9.140625" style="61"/>
    <col min="8193" max="8193" width="7.140625" style="61" customWidth="1"/>
    <col min="8194" max="8194" width="45.85546875" style="61" customWidth="1"/>
    <col min="8195" max="8197" width="13.7109375" style="61" customWidth="1"/>
    <col min="8198" max="8448" width="9.140625" style="61"/>
    <col min="8449" max="8449" width="7.140625" style="61" customWidth="1"/>
    <col min="8450" max="8450" width="45.85546875" style="61" customWidth="1"/>
    <col min="8451" max="8453" width="13.7109375" style="61" customWidth="1"/>
    <col min="8454" max="8704" width="9.140625" style="61"/>
    <col min="8705" max="8705" width="7.140625" style="61" customWidth="1"/>
    <col min="8706" max="8706" width="45.85546875" style="61" customWidth="1"/>
    <col min="8707" max="8709" width="13.7109375" style="61" customWidth="1"/>
    <col min="8710" max="8960" width="9.140625" style="61"/>
    <col min="8961" max="8961" width="7.140625" style="61" customWidth="1"/>
    <col min="8962" max="8962" width="45.85546875" style="61" customWidth="1"/>
    <col min="8963" max="8965" width="13.7109375" style="61" customWidth="1"/>
    <col min="8966" max="9216" width="9.140625" style="61"/>
    <col min="9217" max="9217" width="7.140625" style="61" customWidth="1"/>
    <col min="9218" max="9218" width="45.85546875" style="61" customWidth="1"/>
    <col min="9219" max="9221" width="13.7109375" style="61" customWidth="1"/>
    <col min="9222" max="9472" width="9.140625" style="61"/>
    <col min="9473" max="9473" width="7.140625" style="61" customWidth="1"/>
    <col min="9474" max="9474" width="45.85546875" style="61" customWidth="1"/>
    <col min="9475" max="9477" width="13.7109375" style="61" customWidth="1"/>
    <col min="9478" max="9728" width="9.140625" style="61"/>
    <col min="9729" max="9729" width="7.140625" style="61" customWidth="1"/>
    <col min="9730" max="9730" width="45.85546875" style="61" customWidth="1"/>
    <col min="9731" max="9733" width="13.7109375" style="61" customWidth="1"/>
    <col min="9734" max="9984" width="9.140625" style="61"/>
    <col min="9985" max="9985" width="7.140625" style="61" customWidth="1"/>
    <col min="9986" max="9986" width="45.85546875" style="61" customWidth="1"/>
    <col min="9987" max="9989" width="13.7109375" style="61" customWidth="1"/>
    <col min="9990" max="10240" width="9.140625" style="61"/>
    <col min="10241" max="10241" width="7.140625" style="61" customWidth="1"/>
    <col min="10242" max="10242" width="45.85546875" style="61" customWidth="1"/>
    <col min="10243" max="10245" width="13.7109375" style="61" customWidth="1"/>
    <col min="10246" max="10496" width="9.140625" style="61"/>
    <col min="10497" max="10497" width="7.140625" style="61" customWidth="1"/>
    <col min="10498" max="10498" width="45.85546875" style="61" customWidth="1"/>
    <col min="10499" max="10501" width="13.7109375" style="61" customWidth="1"/>
    <col min="10502" max="10752" width="9.140625" style="61"/>
    <col min="10753" max="10753" width="7.140625" style="61" customWidth="1"/>
    <col min="10754" max="10754" width="45.85546875" style="61" customWidth="1"/>
    <col min="10755" max="10757" width="13.7109375" style="61" customWidth="1"/>
    <col min="10758" max="11008" width="9.140625" style="61"/>
    <col min="11009" max="11009" width="7.140625" style="61" customWidth="1"/>
    <col min="11010" max="11010" width="45.85546875" style="61" customWidth="1"/>
    <col min="11011" max="11013" width="13.7109375" style="61" customWidth="1"/>
    <col min="11014" max="11264" width="9.140625" style="61"/>
    <col min="11265" max="11265" width="7.140625" style="61" customWidth="1"/>
    <col min="11266" max="11266" width="45.85546875" style="61" customWidth="1"/>
    <col min="11267" max="11269" width="13.7109375" style="61" customWidth="1"/>
    <col min="11270" max="11520" width="9.140625" style="61"/>
    <col min="11521" max="11521" width="7.140625" style="61" customWidth="1"/>
    <col min="11522" max="11522" width="45.85546875" style="61" customWidth="1"/>
    <col min="11523" max="11525" width="13.7109375" style="61" customWidth="1"/>
    <col min="11526" max="11776" width="9.140625" style="61"/>
    <col min="11777" max="11777" width="7.140625" style="61" customWidth="1"/>
    <col min="11778" max="11778" width="45.85546875" style="61" customWidth="1"/>
    <col min="11779" max="11781" width="13.7109375" style="61" customWidth="1"/>
    <col min="11782" max="12032" width="9.140625" style="61"/>
    <col min="12033" max="12033" width="7.140625" style="61" customWidth="1"/>
    <col min="12034" max="12034" width="45.85546875" style="61" customWidth="1"/>
    <col min="12035" max="12037" width="13.7109375" style="61" customWidth="1"/>
    <col min="12038" max="12288" width="9.140625" style="61"/>
    <col min="12289" max="12289" width="7.140625" style="61" customWidth="1"/>
    <col min="12290" max="12290" width="45.85546875" style="61" customWidth="1"/>
    <col min="12291" max="12293" width="13.7109375" style="61" customWidth="1"/>
    <col min="12294" max="12544" width="9.140625" style="61"/>
    <col min="12545" max="12545" width="7.140625" style="61" customWidth="1"/>
    <col min="12546" max="12546" width="45.85546875" style="61" customWidth="1"/>
    <col min="12547" max="12549" width="13.7109375" style="61" customWidth="1"/>
    <col min="12550" max="12800" width="9.140625" style="61"/>
    <col min="12801" max="12801" width="7.140625" style="61" customWidth="1"/>
    <col min="12802" max="12802" width="45.85546875" style="61" customWidth="1"/>
    <col min="12803" max="12805" width="13.7109375" style="61" customWidth="1"/>
    <col min="12806" max="13056" width="9.140625" style="61"/>
    <col min="13057" max="13057" width="7.140625" style="61" customWidth="1"/>
    <col min="13058" max="13058" width="45.85546875" style="61" customWidth="1"/>
    <col min="13059" max="13061" width="13.7109375" style="61" customWidth="1"/>
    <col min="13062" max="13312" width="9.140625" style="61"/>
    <col min="13313" max="13313" width="7.140625" style="61" customWidth="1"/>
    <col min="13314" max="13314" width="45.85546875" style="61" customWidth="1"/>
    <col min="13315" max="13317" width="13.7109375" style="61" customWidth="1"/>
    <col min="13318" max="13568" width="9.140625" style="61"/>
    <col min="13569" max="13569" width="7.140625" style="61" customWidth="1"/>
    <col min="13570" max="13570" width="45.85546875" style="61" customWidth="1"/>
    <col min="13571" max="13573" width="13.7109375" style="61" customWidth="1"/>
    <col min="13574" max="13824" width="9.140625" style="61"/>
    <col min="13825" max="13825" width="7.140625" style="61" customWidth="1"/>
    <col min="13826" max="13826" width="45.85546875" style="61" customWidth="1"/>
    <col min="13827" max="13829" width="13.7109375" style="61" customWidth="1"/>
    <col min="13830" max="14080" width="9.140625" style="61"/>
    <col min="14081" max="14081" width="7.140625" style="61" customWidth="1"/>
    <col min="14082" max="14082" width="45.85546875" style="61" customWidth="1"/>
    <col min="14083" max="14085" width="13.7109375" style="61" customWidth="1"/>
    <col min="14086" max="14336" width="9.140625" style="61"/>
    <col min="14337" max="14337" width="7.140625" style="61" customWidth="1"/>
    <col min="14338" max="14338" width="45.85546875" style="61" customWidth="1"/>
    <col min="14339" max="14341" width="13.7109375" style="61" customWidth="1"/>
    <col min="14342" max="14592" width="9.140625" style="61"/>
    <col min="14593" max="14593" width="7.140625" style="61" customWidth="1"/>
    <col min="14594" max="14594" width="45.85546875" style="61" customWidth="1"/>
    <col min="14595" max="14597" width="13.7109375" style="61" customWidth="1"/>
    <col min="14598" max="14848" width="9.140625" style="61"/>
    <col min="14849" max="14849" width="7.140625" style="61" customWidth="1"/>
    <col min="14850" max="14850" width="45.85546875" style="61" customWidth="1"/>
    <col min="14851" max="14853" width="13.7109375" style="61" customWidth="1"/>
    <col min="14854" max="15104" width="9.140625" style="61"/>
    <col min="15105" max="15105" width="7.140625" style="61" customWidth="1"/>
    <col min="15106" max="15106" width="45.85546875" style="61" customWidth="1"/>
    <col min="15107" max="15109" width="13.7109375" style="61" customWidth="1"/>
    <col min="15110" max="15360" width="9.140625" style="61"/>
    <col min="15361" max="15361" width="7.140625" style="61" customWidth="1"/>
    <col min="15362" max="15362" width="45.85546875" style="61" customWidth="1"/>
    <col min="15363" max="15365" width="13.7109375" style="61" customWidth="1"/>
    <col min="15366" max="15616" width="9.140625" style="61"/>
    <col min="15617" max="15617" width="7.140625" style="61" customWidth="1"/>
    <col min="15618" max="15618" width="45.85546875" style="61" customWidth="1"/>
    <col min="15619" max="15621" width="13.7109375" style="61" customWidth="1"/>
    <col min="15622" max="15872" width="9.140625" style="61"/>
    <col min="15873" max="15873" width="7.140625" style="61" customWidth="1"/>
    <col min="15874" max="15874" width="45.85546875" style="61" customWidth="1"/>
    <col min="15875" max="15877" width="13.7109375" style="61" customWidth="1"/>
    <col min="15878" max="16128" width="9.140625" style="61"/>
    <col min="16129" max="16129" width="7.140625" style="61" customWidth="1"/>
    <col min="16130" max="16130" width="45.85546875" style="61" customWidth="1"/>
    <col min="16131" max="16133" width="13.7109375" style="61" customWidth="1"/>
    <col min="16134" max="16384" width="9.140625" style="61"/>
  </cols>
  <sheetData>
    <row r="1" spans="1:5" ht="18.75" x14ac:dyDescent="0.25">
      <c r="A1" s="500" t="s">
        <v>59</v>
      </c>
      <c r="B1" s="500"/>
      <c r="C1" s="500"/>
      <c r="D1" s="500"/>
      <c r="E1" s="500"/>
    </row>
    <row r="2" spans="1:5" ht="78.75" customHeight="1" x14ac:dyDescent="0.25">
      <c r="A2" s="501" t="s">
        <v>447</v>
      </c>
      <c r="B2" s="501"/>
      <c r="C2" s="501"/>
      <c r="D2" s="501"/>
      <c r="E2" s="501"/>
    </row>
    <row r="3" spans="1:5" ht="18.75" x14ac:dyDescent="0.25">
      <c r="A3" s="502" t="s">
        <v>51</v>
      </c>
      <c r="B3" s="502" t="s">
        <v>52</v>
      </c>
      <c r="C3" s="502" t="s">
        <v>2</v>
      </c>
      <c r="D3" s="502"/>
      <c r="E3" s="502"/>
    </row>
    <row r="4" spans="1:5" ht="18.75" x14ac:dyDescent="0.25">
      <c r="A4" s="502"/>
      <c r="B4" s="502"/>
      <c r="C4" s="504" t="s">
        <v>3</v>
      </c>
      <c r="D4" s="506" t="s">
        <v>4</v>
      </c>
      <c r="E4" s="507"/>
    </row>
    <row r="5" spans="1:5" ht="18.75" x14ac:dyDescent="0.25">
      <c r="A5" s="502" t="s">
        <v>51</v>
      </c>
      <c r="B5" s="503" t="s">
        <v>52</v>
      </c>
      <c r="C5" s="505"/>
      <c r="D5" s="313" t="s">
        <v>5</v>
      </c>
      <c r="E5" s="313" t="s">
        <v>6</v>
      </c>
    </row>
    <row r="6" spans="1:5" ht="18.75" x14ac:dyDescent="0.25">
      <c r="A6" s="314" t="s">
        <v>53</v>
      </c>
      <c r="B6" s="315" t="s">
        <v>54</v>
      </c>
      <c r="C6" s="315" t="s">
        <v>55</v>
      </c>
      <c r="D6" s="315">
        <v>4</v>
      </c>
      <c r="E6" s="315">
        <v>5</v>
      </c>
    </row>
    <row r="7" spans="1:5" ht="18.75" x14ac:dyDescent="0.25">
      <c r="A7" s="313">
        <v>1</v>
      </c>
      <c r="B7" s="316" t="s">
        <v>7</v>
      </c>
      <c r="C7" s="323">
        <v>2612.6999999999998</v>
      </c>
      <c r="D7" s="323">
        <v>2612.6999999999998</v>
      </c>
      <c r="E7" s="323">
        <v>2606.6999999999998</v>
      </c>
    </row>
    <row r="8" spans="1:5" ht="18.75" x14ac:dyDescent="0.25">
      <c r="A8" s="313">
        <v>2</v>
      </c>
      <c r="B8" s="316" t="s">
        <v>8</v>
      </c>
      <c r="C8" s="323">
        <v>0</v>
      </c>
      <c r="D8" s="323">
        <v>0</v>
      </c>
      <c r="E8" s="323">
        <v>0</v>
      </c>
    </row>
    <row r="9" spans="1:5" ht="18.75" x14ac:dyDescent="0.25">
      <c r="A9" s="313">
        <v>3</v>
      </c>
      <c r="B9" s="316" t="s">
        <v>9</v>
      </c>
      <c r="C9" s="323">
        <v>0</v>
      </c>
      <c r="D9" s="323">
        <v>0</v>
      </c>
      <c r="E9" s="323">
        <v>0</v>
      </c>
    </row>
    <row r="10" spans="1:5" ht="18.75" x14ac:dyDescent="0.25">
      <c r="A10" s="313">
        <v>4</v>
      </c>
      <c r="B10" s="316" t="s">
        <v>10</v>
      </c>
      <c r="C10" s="323">
        <v>2532.1</v>
      </c>
      <c r="D10" s="323">
        <v>2532.1</v>
      </c>
      <c r="E10" s="323">
        <v>2526</v>
      </c>
    </row>
    <row r="11" spans="1:5" ht="18.75" x14ac:dyDescent="0.25">
      <c r="A11" s="313">
        <v>5</v>
      </c>
      <c r="B11" s="316" t="s">
        <v>11</v>
      </c>
      <c r="C11" s="323">
        <v>4899</v>
      </c>
      <c r="D11" s="323">
        <v>4899</v>
      </c>
      <c r="E11" s="323">
        <v>4889.1000000000004</v>
      </c>
    </row>
    <row r="12" spans="1:5" ht="18.75" x14ac:dyDescent="0.25">
      <c r="A12" s="313">
        <v>6</v>
      </c>
      <c r="B12" s="317" t="s">
        <v>12</v>
      </c>
      <c r="C12" s="323">
        <v>2528.3000000000002</v>
      </c>
      <c r="D12" s="323">
        <v>2528.3000000000002</v>
      </c>
      <c r="E12" s="323">
        <v>2524.4</v>
      </c>
    </row>
    <row r="13" spans="1:5" ht="18.75" x14ac:dyDescent="0.25">
      <c r="A13" s="313">
        <v>7</v>
      </c>
      <c r="B13" s="317" t="s">
        <v>13</v>
      </c>
      <c r="C13" s="323">
        <v>1883.6</v>
      </c>
      <c r="D13" s="323">
        <v>1883.6</v>
      </c>
      <c r="E13" s="323">
        <v>1879.9</v>
      </c>
    </row>
    <row r="14" spans="1:5" ht="18.75" x14ac:dyDescent="0.25">
      <c r="A14" s="313">
        <v>8</v>
      </c>
      <c r="B14" s="318" t="s">
        <v>14</v>
      </c>
      <c r="C14" s="323">
        <v>2196.6</v>
      </c>
      <c r="D14" s="323">
        <v>2196.6</v>
      </c>
      <c r="E14" s="323">
        <v>2193.1999999999998</v>
      </c>
    </row>
    <row r="15" spans="1:5" ht="18.75" x14ac:dyDescent="0.25">
      <c r="A15" s="313">
        <v>9</v>
      </c>
      <c r="B15" s="316" t="s">
        <v>15</v>
      </c>
      <c r="C15" s="323">
        <v>3379.4</v>
      </c>
      <c r="D15" s="323">
        <v>3379.4</v>
      </c>
      <c r="E15" s="323">
        <v>3373.8</v>
      </c>
    </row>
    <row r="16" spans="1:5" ht="18.75" x14ac:dyDescent="0.25">
      <c r="A16" s="313">
        <v>10</v>
      </c>
      <c r="B16" s="316" t="s">
        <v>16</v>
      </c>
      <c r="C16" s="323">
        <v>1377.1</v>
      </c>
      <c r="D16" s="323">
        <v>1377.1</v>
      </c>
      <c r="E16" s="323">
        <v>1375.2</v>
      </c>
    </row>
    <row r="17" spans="1:17" ht="18.75" x14ac:dyDescent="0.25">
      <c r="A17" s="313">
        <v>11</v>
      </c>
      <c r="B17" s="316" t="s">
        <v>17</v>
      </c>
      <c r="C17" s="323">
        <v>1513.2</v>
      </c>
      <c r="D17" s="323">
        <v>1513.2</v>
      </c>
      <c r="E17" s="323">
        <v>1511.2</v>
      </c>
    </row>
    <row r="18" spans="1:17" ht="18.75" x14ac:dyDescent="0.25">
      <c r="A18" s="313">
        <v>12</v>
      </c>
      <c r="B18" s="319" t="s">
        <v>18</v>
      </c>
      <c r="C18" s="323">
        <v>2040.1</v>
      </c>
      <c r="D18" s="323">
        <v>2040.1</v>
      </c>
      <c r="E18" s="323">
        <v>2037.6</v>
      </c>
    </row>
    <row r="19" spans="1:17" ht="18.75" x14ac:dyDescent="0.25">
      <c r="A19" s="313">
        <v>13</v>
      </c>
      <c r="B19" s="317" t="s">
        <v>19</v>
      </c>
      <c r="C19" s="323">
        <v>1020</v>
      </c>
      <c r="D19" s="323">
        <v>1020</v>
      </c>
      <c r="E19" s="323">
        <v>1018.4</v>
      </c>
      <c r="Q19" s="212"/>
    </row>
    <row r="20" spans="1:17" ht="18.75" x14ac:dyDescent="0.25">
      <c r="A20" s="313">
        <v>14</v>
      </c>
      <c r="B20" s="317" t="s">
        <v>20</v>
      </c>
      <c r="C20" s="323">
        <v>686.9</v>
      </c>
      <c r="D20" s="323">
        <v>686.9</v>
      </c>
      <c r="E20" s="323">
        <v>686.1</v>
      </c>
    </row>
    <row r="21" spans="1:17" ht="18.75" x14ac:dyDescent="0.25">
      <c r="A21" s="313">
        <v>15</v>
      </c>
      <c r="B21" s="316" t="s">
        <v>21</v>
      </c>
      <c r="C21" s="323">
        <v>1917.6</v>
      </c>
      <c r="D21" s="323">
        <v>1917.6</v>
      </c>
      <c r="E21" s="323">
        <v>1915.4</v>
      </c>
    </row>
    <row r="22" spans="1:17" ht="18.75" x14ac:dyDescent="0.25">
      <c r="A22" s="313">
        <v>16</v>
      </c>
      <c r="B22" s="320" t="s">
        <v>22</v>
      </c>
      <c r="C22" s="323">
        <v>1163</v>
      </c>
      <c r="D22" s="323">
        <v>1163</v>
      </c>
      <c r="E22" s="323">
        <v>1161.7</v>
      </c>
    </row>
    <row r="23" spans="1:17" ht="18.75" x14ac:dyDescent="0.25">
      <c r="A23" s="313">
        <v>17</v>
      </c>
      <c r="B23" s="320" t="s">
        <v>23</v>
      </c>
      <c r="C23" s="323">
        <v>1105</v>
      </c>
      <c r="D23" s="323">
        <v>1105</v>
      </c>
      <c r="E23" s="323">
        <v>1103.8</v>
      </c>
    </row>
    <row r="24" spans="1:17" ht="18.75" x14ac:dyDescent="0.25">
      <c r="A24" s="313">
        <v>18</v>
      </c>
      <c r="B24" s="321" t="s">
        <v>24</v>
      </c>
      <c r="C24" s="323">
        <v>1810.5</v>
      </c>
      <c r="D24" s="323">
        <v>1810.5</v>
      </c>
      <c r="E24" s="323">
        <v>1808.3</v>
      </c>
    </row>
    <row r="25" spans="1:17" ht="18.75" x14ac:dyDescent="0.25">
      <c r="A25" s="313">
        <v>19</v>
      </c>
      <c r="B25" s="316" t="s">
        <v>25</v>
      </c>
      <c r="C25" s="323">
        <v>3007.3</v>
      </c>
      <c r="D25" s="323">
        <v>3007.3</v>
      </c>
      <c r="E25" s="323">
        <v>3002.3</v>
      </c>
    </row>
    <row r="26" spans="1:17" ht="18.75" x14ac:dyDescent="0.25">
      <c r="A26" s="313">
        <v>20</v>
      </c>
      <c r="B26" s="316" t="s">
        <v>26</v>
      </c>
      <c r="C26" s="323">
        <v>658.2</v>
      </c>
      <c r="D26" s="323">
        <v>658.2</v>
      </c>
      <c r="E26" s="323">
        <v>657.3</v>
      </c>
    </row>
    <row r="27" spans="1:17" ht="18.75" x14ac:dyDescent="0.25">
      <c r="A27" s="313">
        <v>21</v>
      </c>
      <c r="B27" s="316" t="s">
        <v>27</v>
      </c>
      <c r="C27" s="323">
        <v>3140.9</v>
      </c>
      <c r="D27" s="323">
        <v>3141</v>
      </c>
      <c r="E27" s="323">
        <v>3135.7</v>
      </c>
    </row>
    <row r="28" spans="1:17" ht="18.75" x14ac:dyDescent="0.25">
      <c r="A28" s="313">
        <v>22</v>
      </c>
      <c r="B28" s="316" t="s">
        <v>28</v>
      </c>
      <c r="C28" s="323">
        <v>633.9</v>
      </c>
      <c r="D28" s="323">
        <v>633.9</v>
      </c>
      <c r="E28" s="323">
        <v>633.1</v>
      </c>
    </row>
    <row r="29" spans="1:17" ht="18.75" x14ac:dyDescent="0.25">
      <c r="A29" s="313">
        <v>23</v>
      </c>
      <c r="B29" s="316" t="s">
        <v>29</v>
      </c>
      <c r="C29" s="323">
        <v>1887.5</v>
      </c>
      <c r="D29" s="323">
        <v>1887.5</v>
      </c>
      <c r="E29" s="323">
        <v>1884.8</v>
      </c>
    </row>
    <row r="30" spans="1:17" ht="18.75" x14ac:dyDescent="0.25">
      <c r="A30" s="313">
        <v>24</v>
      </c>
      <c r="B30" s="316" t="s">
        <v>30</v>
      </c>
      <c r="C30" s="323">
        <v>5270</v>
      </c>
      <c r="D30" s="323">
        <v>5270.1</v>
      </c>
      <c r="E30" s="323">
        <v>5261.7</v>
      </c>
    </row>
    <row r="31" spans="1:17" ht="18.75" x14ac:dyDescent="0.25">
      <c r="A31" s="313">
        <v>25</v>
      </c>
      <c r="B31" s="316" t="s">
        <v>31</v>
      </c>
      <c r="C31" s="323">
        <v>2744.6</v>
      </c>
      <c r="D31" s="323">
        <v>2744.6</v>
      </c>
      <c r="E31" s="323">
        <v>2741</v>
      </c>
    </row>
    <row r="32" spans="1:17" ht="18.75" x14ac:dyDescent="0.25">
      <c r="A32" s="313">
        <v>26</v>
      </c>
      <c r="B32" s="316" t="s">
        <v>32</v>
      </c>
      <c r="C32" s="323">
        <v>957.1</v>
      </c>
      <c r="D32" s="323">
        <v>957.1</v>
      </c>
      <c r="E32" s="323">
        <v>955.8</v>
      </c>
    </row>
    <row r="33" spans="1:5" ht="18.75" x14ac:dyDescent="0.25">
      <c r="A33" s="313">
        <v>27</v>
      </c>
      <c r="B33" s="316" t="s">
        <v>33</v>
      </c>
      <c r="C33" s="323">
        <v>2281</v>
      </c>
      <c r="D33" s="323">
        <v>2281</v>
      </c>
      <c r="E33" s="323">
        <v>2278.5</v>
      </c>
    </row>
    <row r="34" spans="1:5" ht="18.75" x14ac:dyDescent="0.25">
      <c r="A34" s="313">
        <v>28</v>
      </c>
      <c r="B34" s="316" t="s">
        <v>34</v>
      </c>
      <c r="C34" s="323">
        <v>5427.8</v>
      </c>
      <c r="D34" s="323">
        <v>5427.9</v>
      </c>
      <c r="E34" s="323">
        <v>5416.6</v>
      </c>
    </row>
    <row r="35" spans="1:5" ht="18.75" x14ac:dyDescent="0.25">
      <c r="A35" s="313">
        <v>29</v>
      </c>
      <c r="B35" s="316" t="s">
        <v>35</v>
      </c>
      <c r="C35" s="323">
        <v>1567.1</v>
      </c>
      <c r="D35" s="323">
        <v>1567.1</v>
      </c>
      <c r="E35" s="323">
        <v>1564.7</v>
      </c>
    </row>
    <row r="36" spans="1:5" ht="18.75" x14ac:dyDescent="0.25">
      <c r="A36" s="313">
        <v>30</v>
      </c>
      <c r="B36" s="316" t="s">
        <v>36</v>
      </c>
      <c r="C36" s="323">
        <v>2319</v>
      </c>
      <c r="D36" s="323">
        <v>2319.1</v>
      </c>
      <c r="E36" s="323">
        <v>2315</v>
      </c>
    </row>
    <row r="37" spans="1:5" ht="18.75" x14ac:dyDescent="0.25">
      <c r="A37" s="313">
        <v>31</v>
      </c>
      <c r="B37" s="316" t="s">
        <v>37</v>
      </c>
      <c r="C37" s="323">
        <v>1531.9</v>
      </c>
      <c r="D37" s="323">
        <v>1531.9</v>
      </c>
      <c r="E37" s="323">
        <v>1529.5</v>
      </c>
    </row>
    <row r="38" spans="1:5" ht="18.75" x14ac:dyDescent="0.25">
      <c r="A38" s="313">
        <v>32</v>
      </c>
      <c r="B38" s="316" t="s">
        <v>38</v>
      </c>
      <c r="C38" s="323">
        <v>878.8</v>
      </c>
      <c r="D38" s="323">
        <v>878.9</v>
      </c>
      <c r="E38" s="323">
        <v>877.9</v>
      </c>
    </row>
    <row r="39" spans="1:5" ht="18.75" x14ac:dyDescent="0.25">
      <c r="A39" s="313">
        <v>33</v>
      </c>
      <c r="B39" s="316" t="s">
        <v>39</v>
      </c>
      <c r="C39" s="323">
        <v>1873.7</v>
      </c>
      <c r="D39" s="323">
        <v>1873.7</v>
      </c>
      <c r="E39" s="323">
        <v>1871</v>
      </c>
    </row>
    <row r="40" spans="1:5" ht="18.75" x14ac:dyDescent="0.25">
      <c r="A40" s="313">
        <v>34</v>
      </c>
      <c r="B40" s="316" t="s">
        <v>40</v>
      </c>
      <c r="C40" s="323">
        <v>2394</v>
      </c>
      <c r="D40" s="323">
        <v>2394</v>
      </c>
      <c r="E40" s="323">
        <v>2391.5</v>
      </c>
    </row>
    <row r="41" spans="1:5" ht="18.75" x14ac:dyDescent="0.25">
      <c r="A41" s="313">
        <v>35</v>
      </c>
      <c r="B41" s="316" t="s">
        <v>41</v>
      </c>
      <c r="C41" s="323">
        <v>792.5</v>
      </c>
      <c r="D41" s="323">
        <v>792.5</v>
      </c>
      <c r="E41" s="323">
        <v>791.3</v>
      </c>
    </row>
    <row r="42" spans="1:5" ht="18.75" x14ac:dyDescent="0.25">
      <c r="A42" s="313">
        <v>36</v>
      </c>
      <c r="B42" s="316" t="s">
        <v>42</v>
      </c>
      <c r="C42" s="323">
        <v>985.2</v>
      </c>
      <c r="D42" s="323">
        <v>985.2</v>
      </c>
      <c r="E42" s="323">
        <v>983.5</v>
      </c>
    </row>
    <row r="43" spans="1:5" ht="18.75" x14ac:dyDescent="0.25">
      <c r="A43" s="313">
        <v>37</v>
      </c>
      <c r="B43" s="316" t="s">
        <v>43</v>
      </c>
      <c r="C43" s="323">
        <v>3164.9</v>
      </c>
      <c r="D43" s="323">
        <v>3165</v>
      </c>
      <c r="E43" s="323">
        <v>3160.8</v>
      </c>
    </row>
    <row r="44" spans="1:5" ht="18.75" x14ac:dyDescent="0.25">
      <c r="A44" s="313">
        <v>38</v>
      </c>
      <c r="B44" s="316" t="s">
        <v>44</v>
      </c>
      <c r="C44" s="323">
        <v>2572.6</v>
      </c>
      <c r="D44" s="323">
        <v>2572.6</v>
      </c>
      <c r="E44" s="323">
        <v>2569</v>
      </c>
    </row>
    <row r="45" spans="1:5" ht="18.75" x14ac:dyDescent="0.25">
      <c r="A45" s="313">
        <v>39</v>
      </c>
      <c r="B45" s="316" t="s">
        <v>45</v>
      </c>
      <c r="C45" s="323">
        <v>2007.1</v>
      </c>
      <c r="D45" s="323">
        <v>2007.2</v>
      </c>
      <c r="E45" s="323">
        <v>2004.1</v>
      </c>
    </row>
    <row r="46" spans="1:5" ht="18.75" x14ac:dyDescent="0.25">
      <c r="A46" s="313">
        <v>40</v>
      </c>
      <c r="B46" s="316" t="s">
        <v>46</v>
      </c>
      <c r="C46" s="323">
        <v>785.8</v>
      </c>
      <c r="D46" s="323">
        <v>785.8</v>
      </c>
      <c r="E46" s="323">
        <v>784.5</v>
      </c>
    </row>
    <row r="47" spans="1:5" ht="18.75" x14ac:dyDescent="0.25">
      <c r="A47" s="313">
        <v>41</v>
      </c>
      <c r="B47" s="316" t="s">
        <v>47</v>
      </c>
      <c r="C47" s="323">
        <v>589.20000000000005</v>
      </c>
      <c r="D47" s="323">
        <v>589.20000000000005</v>
      </c>
      <c r="E47" s="323">
        <v>587.70000000000005</v>
      </c>
    </row>
    <row r="48" spans="1:5" ht="18.75" x14ac:dyDescent="0.25">
      <c r="A48" s="313">
        <v>42</v>
      </c>
      <c r="B48" s="316" t="s">
        <v>48</v>
      </c>
      <c r="C48" s="323">
        <v>0</v>
      </c>
      <c r="D48" s="323">
        <v>0</v>
      </c>
      <c r="E48" s="323">
        <v>127.3</v>
      </c>
    </row>
    <row r="49" spans="1:5" ht="18.75" x14ac:dyDescent="0.25">
      <c r="A49" s="68" t="s">
        <v>58</v>
      </c>
      <c r="B49" s="322" t="s">
        <v>49</v>
      </c>
      <c r="C49" s="324">
        <f>SUM(C7:C48)</f>
        <v>80135.200000000012</v>
      </c>
      <c r="D49" s="324">
        <f>SUM(D7:D48)</f>
        <v>80135.899999999994</v>
      </c>
      <c r="E49" s="324">
        <f>SUM(E7:E48)</f>
        <v>80135.400000000009</v>
      </c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  <row r="55" spans="1:5" x14ac:dyDescent="0.25">
      <c r="A55" s="71"/>
      <c r="B55" s="71"/>
      <c r="C55" s="71"/>
      <c r="D55" s="71"/>
      <c r="E55" s="71"/>
    </row>
    <row r="56" spans="1:5" x14ac:dyDescent="0.25">
      <c r="A56" s="71"/>
      <c r="B56" s="71"/>
      <c r="C56" s="71"/>
      <c r="D56" s="71"/>
      <c r="E56" s="71"/>
    </row>
    <row r="57" spans="1:5" x14ac:dyDescent="0.25">
      <c r="A57" s="71"/>
      <c r="B57" s="71"/>
      <c r="C57" s="71"/>
      <c r="D57" s="71"/>
      <c r="E57" s="71"/>
    </row>
    <row r="58" spans="1:5" x14ac:dyDescent="0.25">
      <c r="A58" s="71"/>
      <c r="B58" s="71"/>
      <c r="C58" s="71"/>
      <c r="D58" s="71"/>
      <c r="E58" s="71"/>
    </row>
    <row r="59" spans="1:5" x14ac:dyDescent="0.25">
      <c r="A59" s="71"/>
      <c r="B59" s="71"/>
      <c r="C59" s="71"/>
      <c r="D59" s="71"/>
      <c r="E59" s="71"/>
    </row>
    <row r="60" spans="1:5" x14ac:dyDescent="0.25">
      <c r="A60" s="71"/>
      <c r="B60" s="71"/>
      <c r="C60" s="71"/>
      <c r="D60" s="71"/>
      <c r="E60" s="71"/>
    </row>
    <row r="61" spans="1:5" x14ac:dyDescent="0.25">
      <c r="A61" s="71"/>
      <c r="B61" s="71"/>
      <c r="C61" s="71"/>
      <c r="D61" s="71"/>
      <c r="E61" s="71"/>
    </row>
    <row r="62" spans="1:5" x14ac:dyDescent="0.25">
      <c r="A62" s="71"/>
      <c r="B62" s="71"/>
      <c r="C62" s="71"/>
      <c r="D62" s="71"/>
      <c r="E62" s="71"/>
    </row>
    <row r="63" spans="1:5" x14ac:dyDescent="0.25">
      <c r="A63" s="71"/>
      <c r="B63" s="71"/>
      <c r="C63" s="71"/>
      <c r="D63" s="71"/>
      <c r="E63" s="71"/>
    </row>
    <row r="64" spans="1:5" x14ac:dyDescent="0.25">
      <c r="A64" s="71"/>
      <c r="B64" s="71"/>
      <c r="C64" s="71"/>
      <c r="D64" s="71"/>
      <c r="E64" s="71"/>
    </row>
    <row r="65" spans="1:5" x14ac:dyDescent="0.25">
      <c r="A65" s="71"/>
      <c r="B65" s="71"/>
      <c r="C65" s="71"/>
      <c r="D65" s="71"/>
      <c r="E65" s="71"/>
    </row>
    <row r="66" spans="1:5" x14ac:dyDescent="0.25">
      <c r="A66" s="71"/>
      <c r="B66" s="71"/>
      <c r="C66" s="71"/>
      <c r="D66" s="71"/>
      <c r="E66" s="71"/>
    </row>
    <row r="67" spans="1:5" x14ac:dyDescent="0.25">
      <c r="A67" s="71"/>
      <c r="B67" s="71"/>
      <c r="C67" s="71"/>
      <c r="D67" s="71"/>
      <c r="E67" s="71"/>
    </row>
    <row r="68" spans="1:5" x14ac:dyDescent="0.25">
      <c r="A68" s="71"/>
      <c r="B68" s="71"/>
      <c r="C68" s="71"/>
      <c r="D68" s="71"/>
      <c r="E68" s="71"/>
    </row>
    <row r="69" spans="1:5" x14ac:dyDescent="0.25">
      <c r="A69" s="71"/>
      <c r="B69" s="71"/>
      <c r="C69" s="71"/>
      <c r="D69" s="71"/>
      <c r="E69" s="71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1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3"/>
  <sheetViews>
    <sheetView view="pageBreakPreview" zoomScaleNormal="85" zoomScaleSheetLayoutView="100" workbookViewId="0">
      <selection activeCell="I11" sqref="I11"/>
    </sheetView>
  </sheetViews>
  <sheetFormatPr defaultRowHeight="18.75" x14ac:dyDescent="0.3"/>
  <cols>
    <col min="1" max="1" width="5.140625" style="100" customWidth="1"/>
    <col min="2" max="2" width="51" style="100" customWidth="1"/>
    <col min="3" max="3" width="22" style="100" customWidth="1"/>
    <col min="4" max="4" width="23.7109375" style="100" customWidth="1"/>
    <col min="5" max="5" width="21.140625" style="100" customWidth="1"/>
    <col min="6" max="6" width="14.140625" style="95" customWidth="1"/>
    <col min="7" max="7" width="12.5703125" style="95" customWidth="1"/>
    <col min="8" max="256" width="9.140625" style="95"/>
    <col min="257" max="257" width="5.140625" style="95" customWidth="1"/>
    <col min="258" max="258" width="47.140625" style="95" customWidth="1"/>
    <col min="259" max="259" width="22" style="95" customWidth="1"/>
    <col min="260" max="260" width="23.7109375" style="95" customWidth="1"/>
    <col min="261" max="261" width="21.140625" style="95" customWidth="1"/>
    <col min="262" max="262" width="14.140625" style="95" customWidth="1"/>
    <col min="263" max="263" width="12.5703125" style="95" customWidth="1"/>
    <col min="264" max="512" width="9.140625" style="95"/>
    <col min="513" max="513" width="5.140625" style="95" customWidth="1"/>
    <col min="514" max="514" width="47.140625" style="95" customWidth="1"/>
    <col min="515" max="515" width="22" style="95" customWidth="1"/>
    <col min="516" max="516" width="23.7109375" style="95" customWidth="1"/>
    <col min="517" max="517" width="21.140625" style="95" customWidth="1"/>
    <col min="518" max="518" width="14.140625" style="95" customWidth="1"/>
    <col min="519" max="519" width="12.5703125" style="95" customWidth="1"/>
    <col min="520" max="768" width="9.140625" style="95"/>
    <col min="769" max="769" width="5.140625" style="95" customWidth="1"/>
    <col min="770" max="770" width="47.140625" style="95" customWidth="1"/>
    <col min="771" max="771" width="22" style="95" customWidth="1"/>
    <col min="772" max="772" width="23.7109375" style="95" customWidth="1"/>
    <col min="773" max="773" width="21.140625" style="95" customWidth="1"/>
    <col min="774" max="774" width="14.140625" style="95" customWidth="1"/>
    <col min="775" max="775" width="12.5703125" style="95" customWidth="1"/>
    <col min="776" max="1024" width="9.140625" style="95"/>
    <col min="1025" max="1025" width="5.140625" style="95" customWidth="1"/>
    <col min="1026" max="1026" width="47.140625" style="95" customWidth="1"/>
    <col min="1027" max="1027" width="22" style="95" customWidth="1"/>
    <col min="1028" max="1028" width="23.7109375" style="95" customWidth="1"/>
    <col min="1029" max="1029" width="21.140625" style="95" customWidth="1"/>
    <col min="1030" max="1030" width="14.140625" style="95" customWidth="1"/>
    <col min="1031" max="1031" width="12.5703125" style="95" customWidth="1"/>
    <col min="1032" max="1280" width="9.140625" style="95"/>
    <col min="1281" max="1281" width="5.140625" style="95" customWidth="1"/>
    <col min="1282" max="1282" width="47.140625" style="95" customWidth="1"/>
    <col min="1283" max="1283" width="22" style="95" customWidth="1"/>
    <col min="1284" max="1284" width="23.7109375" style="95" customWidth="1"/>
    <col min="1285" max="1285" width="21.140625" style="95" customWidth="1"/>
    <col min="1286" max="1286" width="14.140625" style="95" customWidth="1"/>
    <col min="1287" max="1287" width="12.5703125" style="95" customWidth="1"/>
    <col min="1288" max="1536" width="9.140625" style="95"/>
    <col min="1537" max="1537" width="5.140625" style="95" customWidth="1"/>
    <col min="1538" max="1538" width="47.140625" style="95" customWidth="1"/>
    <col min="1539" max="1539" width="22" style="95" customWidth="1"/>
    <col min="1540" max="1540" width="23.7109375" style="95" customWidth="1"/>
    <col min="1541" max="1541" width="21.140625" style="95" customWidth="1"/>
    <col min="1542" max="1542" width="14.140625" style="95" customWidth="1"/>
    <col min="1543" max="1543" width="12.5703125" style="95" customWidth="1"/>
    <col min="1544" max="1792" width="9.140625" style="95"/>
    <col min="1793" max="1793" width="5.140625" style="95" customWidth="1"/>
    <col min="1794" max="1794" width="47.140625" style="95" customWidth="1"/>
    <col min="1795" max="1795" width="22" style="95" customWidth="1"/>
    <col min="1796" max="1796" width="23.7109375" style="95" customWidth="1"/>
    <col min="1797" max="1797" width="21.140625" style="95" customWidth="1"/>
    <col min="1798" max="1798" width="14.140625" style="95" customWidth="1"/>
    <col min="1799" max="1799" width="12.5703125" style="95" customWidth="1"/>
    <col min="1800" max="2048" width="9.140625" style="95"/>
    <col min="2049" max="2049" width="5.140625" style="95" customWidth="1"/>
    <col min="2050" max="2050" width="47.140625" style="95" customWidth="1"/>
    <col min="2051" max="2051" width="22" style="95" customWidth="1"/>
    <col min="2052" max="2052" width="23.7109375" style="95" customWidth="1"/>
    <col min="2053" max="2053" width="21.140625" style="95" customWidth="1"/>
    <col min="2054" max="2054" width="14.140625" style="95" customWidth="1"/>
    <col min="2055" max="2055" width="12.5703125" style="95" customWidth="1"/>
    <col min="2056" max="2304" width="9.140625" style="95"/>
    <col min="2305" max="2305" width="5.140625" style="95" customWidth="1"/>
    <col min="2306" max="2306" width="47.140625" style="95" customWidth="1"/>
    <col min="2307" max="2307" width="22" style="95" customWidth="1"/>
    <col min="2308" max="2308" width="23.7109375" style="95" customWidth="1"/>
    <col min="2309" max="2309" width="21.140625" style="95" customWidth="1"/>
    <col min="2310" max="2310" width="14.140625" style="95" customWidth="1"/>
    <col min="2311" max="2311" width="12.5703125" style="95" customWidth="1"/>
    <col min="2312" max="2560" width="9.140625" style="95"/>
    <col min="2561" max="2561" width="5.140625" style="95" customWidth="1"/>
    <col min="2562" max="2562" width="47.140625" style="95" customWidth="1"/>
    <col min="2563" max="2563" width="22" style="95" customWidth="1"/>
    <col min="2564" max="2564" width="23.7109375" style="95" customWidth="1"/>
    <col min="2565" max="2565" width="21.140625" style="95" customWidth="1"/>
    <col min="2566" max="2566" width="14.140625" style="95" customWidth="1"/>
    <col min="2567" max="2567" width="12.5703125" style="95" customWidth="1"/>
    <col min="2568" max="2816" width="9.140625" style="95"/>
    <col min="2817" max="2817" width="5.140625" style="95" customWidth="1"/>
    <col min="2818" max="2818" width="47.140625" style="95" customWidth="1"/>
    <col min="2819" max="2819" width="22" style="95" customWidth="1"/>
    <col min="2820" max="2820" width="23.7109375" style="95" customWidth="1"/>
    <col min="2821" max="2821" width="21.140625" style="95" customWidth="1"/>
    <col min="2822" max="2822" width="14.140625" style="95" customWidth="1"/>
    <col min="2823" max="2823" width="12.5703125" style="95" customWidth="1"/>
    <col min="2824" max="3072" width="9.140625" style="95"/>
    <col min="3073" max="3073" width="5.140625" style="95" customWidth="1"/>
    <col min="3074" max="3074" width="47.140625" style="95" customWidth="1"/>
    <col min="3075" max="3075" width="22" style="95" customWidth="1"/>
    <col min="3076" max="3076" width="23.7109375" style="95" customWidth="1"/>
    <col min="3077" max="3077" width="21.140625" style="95" customWidth="1"/>
    <col min="3078" max="3078" width="14.140625" style="95" customWidth="1"/>
    <col min="3079" max="3079" width="12.5703125" style="95" customWidth="1"/>
    <col min="3080" max="3328" width="9.140625" style="95"/>
    <col min="3329" max="3329" width="5.140625" style="95" customWidth="1"/>
    <col min="3330" max="3330" width="47.140625" style="95" customWidth="1"/>
    <col min="3331" max="3331" width="22" style="95" customWidth="1"/>
    <col min="3332" max="3332" width="23.7109375" style="95" customWidth="1"/>
    <col min="3333" max="3333" width="21.140625" style="95" customWidth="1"/>
    <col min="3334" max="3334" width="14.140625" style="95" customWidth="1"/>
    <col min="3335" max="3335" width="12.5703125" style="95" customWidth="1"/>
    <col min="3336" max="3584" width="9.140625" style="95"/>
    <col min="3585" max="3585" width="5.140625" style="95" customWidth="1"/>
    <col min="3586" max="3586" width="47.140625" style="95" customWidth="1"/>
    <col min="3587" max="3587" width="22" style="95" customWidth="1"/>
    <col min="3588" max="3588" width="23.7109375" style="95" customWidth="1"/>
    <col min="3589" max="3589" width="21.140625" style="95" customWidth="1"/>
    <col min="3590" max="3590" width="14.140625" style="95" customWidth="1"/>
    <col min="3591" max="3591" width="12.5703125" style="95" customWidth="1"/>
    <col min="3592" max="3840" width="9.140625" style="95"/>
    <col min="3841" max="3841" width="5.140625" style="95" customWidth="1"/>
    <col min="3842" max="3842" width="47.140625" style="95" customWidth="1"/>
    <col min="3843" max="3843" width="22" style="95" customWidth="1"/>
    <col min="3844" max="3844" width="23.7109375" style="95" customWidth="1"/>
    <col min="3845" max="3845" width="21.140625" style="95" customWidth="1"/>
    <col min="3846" max="3846" width="14.140625" style="95" customWidth="1"/>
    <col min="3847" max="3847" width="12.5703125" style="95" customWidth="1"/>
    <col min="3848" max="4096" width="9.140625" style="95"/>
    <col min="4097" max="4097" width="5.140625" style="95" customWidth="1"/>
    <col min="4098" max="4098" width="47.140625" style="95" customWidth="1"/>
    <col min="4099" max="4099" width="22" style="95" customWidth="1"/>
    <col min="4100" max="4100" width="23.7109375" style="95" customWidth="1"/>
    <col min="4101" max="4101" width="21.140625" style="95" customWidth="1"/>
    <col min="4102" max="4102" width="14.140625" style="95" customWidth="1"/>
    <col min="4103" max="4103" width="12.5703125" style="95" customWidth="1"/>
    <col min="4104" max="4352" width="9.140625" style="95"/>
    <col min="4353" max="4353" width="5.140625" style="95" customWidth="1"/>
    <col min="4354" max="4354" width="47.140625" style="95" customWidth="1"/>
    <col min="4355" max="4355" width="22" style="95" customWidth="1"/>
    <col min="4356" max="4356" width="23.7109375" style="95" customWidth="1"/>
    <col min="4357" max="4357" width="21.140625" style="95" customWidth="1"/>
    <col min="4358" max="4358" width="14.140625" style="95" customWidth="1"/>
    <col min="4359" max="4359" width="12.5703125" style="95" customWidth="1"/>
    <col min="4360" max="4608" width="9.140625" style="95"/>
    <col min="4609" max="4609" width="5.140625" style="95" customWidth="1"/>
    <col min="4610" max="4610" width="47.140625" style="95" customWidth="1"/>
    <col min="4611" max="4611" width="22" style="95" customWidth="1"/>
    <col min="4612" max="4612" width="23.7109375" style="95" customWidth="1"/>
    <col min="4613" max="4613" width="21.140625" style="95" customWidth="1"/>
    <col min="4614" max="4614" width="14.140625" style="95" customWidth="1"/>
    <col min="4615" max="4615" width="12.5703125" style="95" customWidth="1"/>
    <col min="4616" max="4864" width="9.140625" style="95"/>
    <col min="4865" max="4865" width="5.140625" style="95" customWidth="1"/>
    <col min="4866" max="4866" width="47.140625" style="95" customWidth="1"/>
    <col min="4867" max="4867" width="22" style="95" customWidth="1"/>
    <col min="4868" max="4868" width="23.7109375" style="95" customWidth="1"/>
    <col min="4869" max="4869" width="21.140625" style="95" customWidth="1"/>
    <col min="4870" max="4870" width="14.140625" style="95" customWidth="1"/>
    <col min="4871" max="4871" width="12.5703125" style="95" customWidth="1"/>
    <col min="4872" max="5120" width="9.140625" style="95"/>
    <col min="5121" max="5121" width="5.140625" style="95" customWidth="1"/>
    <col min="5122" max="5122" width="47.140625" style="95" customWidth="1"/>
    <col min="5123" max="5123" width="22" style="95" customWidth="1"/>
    <col min="5124" max="5124" width="23.7109375" style="95" customWidth="1"/>
    <col min="5125" max="5125" width="21.140625" style="95" customWidth="1"/>
    <col min="5126" max="5126" width="14.140625" style="95" customWidth="1"/>
    <col min="5127" max="5127" width="12.5703125" style="95" customWidth="1"/>
    <col min="5128" max="5376" width="9.140625" style="95"/>
    <col min="5377" max="5377" width="5.140625" style="95" customWidth="1"/>
    <col min="5378" max="5378" width="47.140625" style="95" customWidth="1"/>
    <col min="5379" max="5379" width="22" style="95" customWidth="1"/>
    <col min="5380" max="5380" width="23.7109375" style="95" customWidth="1"/>
    <col min="5381" max="5381" width="21.140625" style="95" customWidth="1"/>
    <col min="5382" max="5382" width="14.140625" style="95" customWidth="1"/>
    <col min="5383" max="5383" width="12.5703125" style="95" customWidth="1"/>
    <col min="5384" max="5632" width="9.140625" style="95"/>
    <col min="5633" max="5633" width="5.140625" style="95" customWidth="1"/>
    <col min="5634" max="5634" width="47.140625" style="95" customWidth="1"/>
    <col min="5635" max="5635" width="22" style="95" customWidth="1"/>
    <col min="5636" max="5636" width="23.7109375" style="95" customWidth="1"/>
    <col min="5637" max="5637" width="21.140625" style="95" customWidth="1"/>
    <col min="5638" max="5638" width="14.140625" style="95" customWidth="1"/>
    <col min="5639" max="5639" width="12.5703125" style="95" customWidth="1"/>
    <col min="5640" max="5888" width="9.140625" style="95"/>
    <col min="5889" max="5889" width="5.140625" style="95" customWidth="1"/>
    <col min="5890" max="5890" width="47.140625" style="95" customWidth="1"/>
    <col min="5891" max="5891" width="22" style="95" customWidth="1"/>
    <col min="5892" max="5892" width="23.7109375" style="95" customWidth="1"/>
    <col min="5893" max="5893" width="21.140625" style="95" customWidth="1"/>
    <col min="5894" max="5894" width="14.140625" style="95" customWidth="1"/>
    <col min="5895" max="5895" width="12.5703125" style="95" customWidth="1"/>
    <col min="5896" max="6144" width="9.140625" style="95"/>
    <col min="6145" max="6145" width="5.140625" style="95" customWidth="1"/>
    <col min="6146" max="6146" width="47.140625" style="95" customWidth="1"/>
    <col min="6147" max="6147" width="22" style="95" customWidth="1"/>
    <col min="6148" max="6148" width="23.7109375" style="95" customWidth="1"/>
    <col min="6149" max="6149" width="21.140625" style="95" customWidth="1"/>
    <col min="6150" max="6150" width="14.140625" style="95" customWidth="1"/>
    <col min="6151" max="6151" width="12.5703125" style="95" customWidth="1"/>
    <col min="6152" max="6400" width="9.140625" style="95"/>
    <col min="6401" max="6401" width="5.140625" style="95" customWidth="1"/>
    <col min="6402" max="6402" width="47.140625" style="95" customWidth="1"/>
    <col min="6403" max="6403" width="22" style="95" customWidth="1"/>
    <col min="6404" max="6404" width="23.7109375" style="95" customWidth="1"/>
    <col min="6405" max="6405" width="21.140625" style="95" customWidth="1"/>
    <col min="6406" max="6406" width="14.140625" style="95" customWidth="1"/>
    <col min="6407" max="6407" width="12.5703125" style="95" customWidth="1"/>
    <col min="6408" max="6656" width="9.140625" style="95"/>
    <col min="6657" max="6657" width="5.140625" style="95" customWidth="1"/>
    <col min="6658" max="6658" width="47.140625" style="95" customWidth="1"/>
    <col min="6659" max="6659" width="22" style="95" customWidth="1"/>
    <col min="6660" max="6660" width="23.7109375" style="95" customWidth="1"/>
    <col min="6661" max="6661" width="21.140625" style="95" customWidth="1"/>
    <col min="6662" max="6662" width="14.140625" style="95" customWidth="1"/>
    <col min="6663" max="6663" width="12.5703125" style="95" customWidth="1"/>
    <col min="6664" max="6912" width="9.140625" style="95"/>
    <col min="6913" max="6913" width="5.140625" style="95" customWidth="1"/>
    <col min="6914" max="6914" width="47.140625" style="95" customWidth="1"/>
    <col min="6915" max="6915" width="22" style="95" customWidth="1"/>
    <col min="6916" max="6916" width="23.7109375" style="95" customWidth="1"/>
    <col min="6917" max="6917" width="21.140625" style="95" customWidth="1"/>
    <col min="6918" max="6918" width="14.140625" style="95" customWidth="1"/>
    <col min="6919" max="6919" width="12.5703125" style="95" customWidth="1"/>
    <col min="6920" max="7168" width="9.140625" style="95"/>
    <col min="7169" max="7169" width="5.140625" style="95" customWidth="1"/>
    <col min="7170" max="7170" width="47.140625" style="95" customWidth="1"/>
    <col min="7171" max="7171" width="22" style="95" customWidth="1"/>
    <col min="7172" max="7172" width="23.7109375" style="95" customWidth="1"/>
    <col min="7173" max="7173" width="21.140625" style="95" customWidth="1"/>
    <col min="7174" max="7174" width="14.140625" style="95" customWidth="1"/>
    <col min="7175" max="7175" width="12.5703125" style="95" customWidth="1"/>
    <col min="7176" max="7424" width="9.140625" style="95"/>
    <col min="7425" max="7425" width="5.140625" style="95" customWidth="1"/>
    <col min="7426" max="7426" width="47.140625" style="95" customWidth="1"/>
    <col min="7427" max="7427" width="22" style="95" customWidth="1"/>
    <col min="7428" max="7428" width="23.7109375" style="95" customWidth="1"/>
    <col min="7429" max="7429" width="21.140625" style="95" customWidth="1"/>
    <col min="7430" max="7430" width="14.140625" style="95" customWidth="1"/>
    <col min="7431" max="7431" width="12.5703125" style="95" customWidth="1"/>
    <col min="7432" max="7680" width="9.140625" style="95"/>
    <col min="7681" max="7681" width="5.140625" style="95" customWidth="1"/>
    <col min="7682" max="7682" width="47.140625" style="95" customWidth="1"/>
    <col min="7683" max="7683" width="22" style="95" customWidth="1"/>
    <col min="7684" max="7684" width="23.7109375" style="95" customWidth="1"/>
    <col min="7685" max="7685" width="21.140625" style="95" customWidth="1"/>
    <col min="7686" max="7686" width="14.140625" style="95" customWidth="1"/>
    <col min="7687" max="7687" width="12.5703125" style="95" customWidth="1"/>
    <col min="7688" max="7936" width="9.140625" style="95"/>
    <col min="7937" max="7937" width="5.140625" style="95" customWidth="1"/>
    <col min="7938" max="7938" width="47.140625" style="95" customWidth="1"/>
    <col min="7939" max="7939" width="22" style="95" customWidth="1"/>
    <col min="7940" max="7940" width="23.7109375" style="95" customWidth="1"/>
    <col min="7941" max="7941" width="21.140625" style="95" customWidth="1"/>
    <col min="7942" max="7942" width="14.140625" style="95" customWidth="1"/>
    <col min="7943" max="7943" width="12.5703125" style="95" customWidth="1"/>
    <col min="7944" max="8192" width="9.140625" style="95"/>
    <col min="8193" max="8193" width="5.140625" style="95" customWidth="1"/>
    <col min="8194" max="8194" width="47.140625" style="95" customWidth="1"/>
    <col min="8195" max="8195" width="22" style="95" customWidth="1"/>
    <col min="8196" max="8196" width="23.7109375" style="95" customWidth="1"/>
    <col min="8197" max="8197" width="21.140625" style="95" customWidth="1"/>
    <col min="8198" max="8198" width="14.140625" style="95" customWidth="1"/>
    <col min="8199" max="8199" width="12.5703125" style="95" customWidth="1"/>
    <col min="8200" max="8448" width="9.140625" style="95"/>
    <col min="8449" max="8449" width="5.140625" style="95" customWidth="1"/>
    <col min="8450" max="8450" width="47.140625" style="95" customWidth="1"/>
    <col min="8451" max="8451" width="22" style="95" customWidth="1"/>
    <col min="8452" max="8452" width="23.7109375" style="95" customWidth="1"/>
    <col min="8453" max="8453" width="21.140625" style="95" customWidth="1"/>
    <col min="8454" max="8454" width="14.140625" style="95" customWidth="1"/>
    <col min="8455" max="8455" width="12.5703125" style="95" customWidth="1"/>
    <col min="8456" max="8704" width="9.140625" style="95"/>
    <col min="8705" max="8705" width="5.140625" style="95" customWidth="1"/>
    <col min="8706" max="8706" width="47.140625" style="95" customWidth="1"/>
    <col min="8707" max="8707" width="22" style="95" customWidth="1"/>
    <col min="8708" max="8708" width="23.7109375" style="95" customWidth="1"/>
    <col min="8709" max="8709" width="21.140625" style="95" customWidth="1"/>
    <col min="8710" max="8710" width="14.140625" style="95" customWidth="1"/>
    <col min="8711" max="8711" width="12.5703125" style="95" customWidth="1"/>
    <col min="8712" max="8960" width="9.140625" style="95"/>
    <col min="8961" max="8961" width="5.140625" style="95" customWidth="1"/>
    <col min="8962" max="8962" width="47.140625" style="95" customWidth="1"/>
    <col min="8963" max="8963" width="22" style="95" customWidth="1"/>
    <col min="8964" max="8964" width="23.7109375" style="95" customWidth="1"/>
    <col min="8965" max="8965" width="21.140625" style="95" customWidth="1"/>
    <col min="8966" max="8966" width="14.140625" style="95" customWidth="1"/>
    <col min="8967" max="8967" width="12.5703125" style="95" customWidth="1"/>
    <col min="8968" max="9216" width="9.140625" style="95"/>
    <col min="9217" max="9217" width="5.140625" style="95" customWidth="1"/>
    <col min="9218" max="9218" width="47.140625" style="95" customWidth="1"/>
    <col min="9219" max="9219" width="22" style="95" customWidth="1"/>
    <col min="9220" max="9220" width="23.7109375" style="95" customWidth="1"/>
    <col min="9221" max="9221" width="21.140625" style="95" customWidth="1"/>
    <col min="9222" max="9222" width="14.140625" style="95" customWidth="1"/>
    <col min="9223" max="9223" width="12.5703125" style="95" customWidth="1"/>
    <col min="9224" max="9472" width="9.140625" style="95"/>
    <col min="9473" max="9473" width="5.140625" style="95" customWidth="1"/>
    <col min="9474" max="9474" width="47.140625" style="95" customWidth="1"/>
    <col min="9475" max="9475" width="22" style="95" customWidth="1"/>
    <col min="9476" max="9476" width="23.7109375" style="95" customWidth="1"/>
    <col min="9477" max="9477" width="21.140625" style="95" customWidth="1"/>
    <col min="9478" max="9478" width="14.140625" style="95" customWidth="1"/>
    <col min="9479" max="9479" width="12.5703125" style="95" customWidth="1"/>
    <col min="9480" max="9728" width="9.140625" style="95"/>
    <col min="9729" max="9729" width="5.140625" style="95" customWidth="1"/>
    <col min="9730" max="9730" width="47.140625" style="95" customWidth="1"/>
    <col min="9731" max="9731" width="22" style="95" customWidth="1"/>
    <col min="9732" max="9732" width="23.7109375" style="95" customWidth="1"/>
    <col min="9733" max="9733" width="21.140625" style="95" customWidth="1"/>
    <col min="9734" max="9734" width="14.140625" style="95" customWidth="1"/>
    <col min="9735" max="9735" width="12.5703125" style="95" customWidth="1"/>
    <col min="9736" max="9984" width="9.140625" style="95"/>
    <col min="9985" max="9985" width="5.140625" style="95" customWidth="1"/>
    <col min="9986" max="9986" width="47.140625" style="95" customWidth="1"/>
    <col min="9987" max="9987" width="22" style="95" customWidth="1"/>
    <col min="9988" max="9988" width="23.7109375" style="95" customWidth="1"/>
    <col min="9989" max="9989" width="21.140625" style="95" customWidth="1"/>
    <col min="9990" max="9990" width="14.140625" style="95" customWidth="1"/>
    <col min="9991" max="9991" width="12.5703125" style="95" customWidth="1"/>
    <col min="9992" max="10240" width="9.140625" style="95"/>
    <col min="10241" max="10241" width="5.140625" style="95" customWidth="1"/>
    <col min="10242" max="10242" width="47.140625" style="95" customWidth="1"/>
    <col min="10243" max="10243" width="22" style="95" customWidth="1"/>
    <col min="10244" max="10244" width="23.7109375" style="95" customWidth="1"/>
    <col min="10245" max="10245" width="21.140625" style="95" customWidth="1"/>
    <col min="10246" max="10246" width="14.140625" style="95" customWidth="1"/>
    <col min="10247" max="10247" width="12.5703125" style="95" customWidth="1"/>
    <col min="10248" max="10496" width="9.140625" style="95"/>
    <col min="10497" max="10497" width="5.140625" style="95" customWidth="1"/>
    <col min="10498" max="10498" width="47.140625" style="95" customWidth="1"/>
    <col min="10499" max="10499" width="22" style="95" customWidth="1"/>
    <col min="10500" max="10500" width="23.7109375" style="95" customWidth="1"/>
    <col min="10501" max="10501" width="21.140625" style="95" customWidth="1"/>
    <col min="10502" max="10502" width="14.140625" style="95" customWidth="1"/>
    <col min="10503" max="10503" width="12.5703125" style="95" customWidth="1"/>
    <col min="10504" max="10752" width="9.140625" style="95"/>
    <col min="10753" max="10753" width="5.140625" style="95" customWidth="1"/>
    <col min="10754" max="10754" width="47.140625" style="95" customWidth="1"/>
    <col min="10755" max="10755" width="22" style="95" customWidth="1"/>
    <col min="10756" max="10756" width="23.7109375" style="95" customWidth="1"/>
    <col min="10757" max="10757" width="21.140625" style="95" customWidth="1"/>
    <col min="10758" max="10758" width="14.140625" style="95" customWidth="1"/>
    <col min="10759" max="10759" width="12.5703125" style="95" customWidth="1"/>
    <col min="10760" max="11008" width="9.140625" style="95"/>
    <col min="11009" max="11009" width="5.140625" style="95" customWidth="1"/>
    <col min="11010" max="11010" width="47.140625" style="95" customWidth="1"/>
    <col min="11011" max="11011" width="22" style="95" customWidth="1"/>
    <col min="11012" max="11012" width="23.7109375" style="95" customWidth="1"/>
    <col min="11013" max="11013" width="21.140625" style="95" customWidth="1"/>
    <col min="11014" max="11014" width="14.140625" style="95" customWidth="1"/>
    <col min="11015" max="11015" width="12.5703125" style="95" customWidth="1"/>
    <col min="11016" max="11264" width="9.140625" style="95"/>
    <col min="11265" max="11265" width="5.140625" style="95" customWidth="1"/>
    <col min="11266" max="11266" width="47.140625" style="95" customWidth="1"/>
    <col min="11267" max="11267" width="22" style="95" customWidth="1"/>
    <col min="11268" max="11268" width="23.7109375" style="95" customWidth="1"/>
    <col min="11269" max="11269" width="21.140625" style="95" customWidth="1"/>
    <col min="11270" max="11270" width="14.140625" style="95" customWidth="1"/>
    <col min="11271" max="11271" width="12.5703125" style="95" customWidth="1"/>
    <col min="11272" max="11520" width="9.140625" style="95"/>
    <col min="11521" max="11521" width="5.140625" style="95" customWidth="1"/>
    <col min="11522" max="11522" width="47.140625" style="95" customWidth="1"/>
    <col min="11523" max="11523" width="22" style="95" customWidth="1"/>
    <col min="11524" max="11524" width="23.7109375" style="95" customWidth="1"/>
    <col min="11525" max="11525" width="21.140625" style="95" customWidth="1"/>
    <col min="11526" max="11526" width="14.140625" style="95" customWidth="1"/>
    <col min="11527" max="11527" width="12.5703125" style="95" customWidth="1"/>
    <col min="11528" max="11776" width="9.140625" style="95"/>
    <col min="11777" max="11777" width="5.140625" style="95" customWidth="1"/>
    <col min="11778" max="11778" width="47.140625" style="95" customWidth="1"/>
    <col min="11779" max="11779" width="22" style="95" customWidth="1"/>
    <col min="11780" max="11780" width="23.7109375" style="95" customWidth="1"/>
    <col min="11781" max="11781" width="21.140625" style="95" customWidth="1"/>
    <col min="11782" max="11782" width="14.140625" style="95" customWidth="1"/>
    <col min="11783" max="11783" width="12.5703125" style="95" customWidth="1"/>
    <col min="11784" max="12032" width="9.140625" style="95"/>
    <col min="12033" max="12033" width="5.140625" style="95" customWidth="1"/>
    <col min="12034" max="12034" width="47.140625" style="95" customWidth="1"/>
    <col min="12035" max="12035" width="22" style="95" customWidth="1"/>
    <col min="12036" max="12036" width="23.7109375" style="95" customWidth="1"/>
    <col min="12037" max="12037" width="21.140625" style="95" customWidth="1"/>
    <col min="12038" max="12038" width="14.140625" style="95" customWidth="1"/>
    <col min="12039" max="12039" width="12.5703125" style="95" customWidth="1"/>
    <col min="12040" max="12288" width="9.140625" style="95"/>
    <col min="12289" max="12289" width="5.140625" style="95" customWidth="1"/>
    <col min="12290" max="12290" width="47.140625" style="95" customWidth="1"/>
    <col min="12291" max="12291" width="22" style="95" customWidth="1"/>
    <col min="12292" max="12292" width="23.7109375" style="95" customWidth="1"/>
    <col min="12293" max="12293" width="21.140625" style="95" customWidth="1"/>
    <col min="12294" max="12294" width="14.140625" style="95" customWidth="1"/>
    <col min="12295" max="12295" width="12.5703125" style="95" customWidth="1"/>
    <col min="12296" max="12544" width="9.140625" style="95"/>
    <col min="12545" max="12545" width="5.140625" style="95" customWidth="1"/>
    <col min="12546" max="12546" width="47.140625" style="95" customWidth="1"/>
    <col min="12547" max="12547" width="22" style="95" customWidth="1"/>
    <col min="12548" max="12548" width="23.7109375" style="95" customWidth="1"/>
    <col min="12549" max="12549" width="21.140625" style="95" customWidth="1"/>
    <col min="12550" max="12550" width="14.140625" style="95" customWidth="1"/>
    <col min="12551" max="12551" width="12.5703125" style="95" customWidth="1"/>
    <col min="12552" max="12800" width="9.140625" style="95"/>
    <col min="12801" max="12801" width="5.140625" style="95" customWidth="1"/>
    <col min="12802" max="12802" width="47.140625" style="95" customWidth="1"/>
    <col min="12803" max="12803" width="22" style="95" customWidth="1"/>
    <col min="12804" max="12804" width="23.7109375" style="95" customWidth="1"/>
    <col min="12805" max="12805" width="21.140625" style="95" customWidth="1"/>
    <col min="12806" max="12806" width="14.140625" style="95" customWidth="1"/>
    <col min="12807" max="12807" width="12.5703125" style="95" customWidth="1"/>
    <col min="12808" max="13056" width="9.140625" style="95"/>
    <col min="13057" max="13057" width="5.140625" style="95" customWidth="1"/>
    <col min="13058" max="13058" width="47.140625" style="95" customWidth="1"/>
    <col min="13059" max="13059" width="22" style="95" customWidth="1"/>
    <col min="13060" max="13060" width="23.7109375" style="95" customWidth="1"/>
    <col min="13061" max="13061" width="21.140625" style="95" customWidth="1"/>
    <col min="13062" max="13062" width="14.140625" style="95" customWidth="1"/>
    <col min="13063" max="13063" width="12.5703125" style="95" customWidth="1"/>
    <col min="13064" max="13312" width="9.140625" style="95"/>
    <col min="13313" max="13313" width="5.140625" style="95" customWidth="1"/>
    <col min="13314" max="13314" width="47.140625" style="95" customWidth="1"/>
    <col min="13315" max="13315" width="22" style="95" customWidth="1"/>
    <col min="13316" max="13316" width="23.7109375" style="95" customWidth="1"/>
    <col min="13317" max="13317" width="21.140625" style="95" customWidth="1"/>
    <col min="13318" max="13318" width="14.140625" style="95" customWidth="1"/>
    <col min="13319" max="13319" width="12.5703125" style="95" customWidth="1"/>
    <col min="13320" max="13568" width="9.140625" style="95"/>
    <col min="13569" max="13569" width="5.140625" style="95" customWidth="1"/>
    <col min="13570" max="13570" width="47.140625" style="95" customWidth="1"/>
    <col min="13571" max="13571" width="22" style="95" customWidth="1"/>
    <col min="13572" max="13572" width="23.7109375" style="95" customWidth="1"/>
    <col min="13573" max="13573" width="21.140625" style="95" customWidth="1"/>
    <col min="13574" max="13574" width="14.140625" style="95" customWidth="1"/>
    <col min="13575" max="13575" width="12.5703125" style="95" customWidth="1"/>
    <col min="13576" max="13824" width="9.140625" style="95"/>
    <col min="13825" max="13825" width="5.140625" style="95" customWidth="1"/>
    <col min="13826" max="13826" width="47.140625" style="95" customWidth="1"/>
    <col min="13827" max="13827" width="22" style="95" customWidth="1"/>
    <col min="13828" max="13828" width="23.7109375" style="95" customWidth="1"/>
    <col min="13829" max="13829" width="21.140625" style="95" customWidth="1"/>
    <col min="13830" max="13830" width="14.140625" style="95" customWidth="1"/>
    <col min="13831" max="13831" width="12.5703125" style="95" customWidth="1"/>
    <col min="13832" max="14080" width="9.140625" style="95"/>
    <col min="14081" max="14081" width="5.140625" style="95" customWidth="1"/>
    <col min="14082" max="14082" width="47.140625" style="95" customWidth="1"/>
    <col min="14083" max="14083" width="22" style="95" customWidth="1"/>
    <col min="14084" max="14084" width="23.7109375" style="95" customWidth="1"/>
    <col min="14085" max="14085" width="21.140625" style="95" customWidth="1"/>
    <col min="14086" max="14086" width="14.140625" style="95" customWidth="1"/>
    <col min="14087" max="14087" width="12.5703125" style="95" customWidth="1"/>
    <col min="14088" max="14336" width="9.140625" style="95"/>
    <col min="14337" max="14337" width="5.140625" style="95" customWidth="1"/>
    <col min="14338" max="14338" width="47.140625" style="95" customWidth="1"/>
    <col min="14339" max="14339" width="22" style="95" customWidth="1"/>
    <col min="14340" max="14340" width="23.7109375" style="95" customWidth="1"/>
    <col min="14341" max="14341" width="21.140625" style="95" customWidth="1"/>
    <col min="14342" max="14342" width="14.140625" style="95" customWidth="1"/>
    <col min="14343" max="14343" width="12.5703125" style="95" customWidth="1"/>
    <col min="14344" max="14592" width="9.140625" style="95"/>
    <col min="14593" max="14593" width="5.140625" style="95" customWidth="1"/>
    <col min="14594" max="14594" width="47.140625" style="95" customWidth="1"/>
    <col min="14595" max="14595" width="22" style="95" customWidth="1"/>
    <col min="14596" max="14596" width="23.7109375" style="95" customWidth="1"/>
    <col min="14597" max="14597" width="21.140625" style="95" customWidth="1"/>
    <col min="14598" max="14598" width="14.140625" style="95" customWidth="1"/>
    <col min="14599" max="14599" width="12.5703125" style="95" customWidth="1"/>
    <col min="14600" max="14848" width="9.140625" style="95"/>
    <col min="14849" max="14849" width="5.140625" style="95" customWidth="1"/>
    <col min="14850" max="14850" width="47.140625" style="95" customWidth="1"/>
    <col min="14851" max="14851" width="22" style="95" customWidth="1"/>
    <col min="14852" max="14852" width="23.7109375" style="95" customWidth="1"/>
    <col min="14853" max="14853" width="21.140625" style="95" customWidth="1"/>
    <col min="14854" max="14854" width="14.140625" style="95" customWidth="1"/>
    <col min="14855" max="14855" width="12.5703125" style="95" customWidth="1"/>
    <col min="14856" max="15104" width="9.140625" style="95"/>
    <col min="15105" max="15105" width="5.140625" style="95" customWidth="1"/>
    <col min="15106" max="15106" width="47.140625" style="95" customWidth="1"/>
    <col min="15107" max="15107" width="22" style="95" customWidth="1"/>
    <col min="15108" max="15108" width="23.7109375" style="95" customWidth="1"/>
    <col min="15109" max="15109" width="21.140625" style="95" customWidth="1"/>
    <col min="15110" max="15110" width="14.140625" style="95" customWidth="1"/>
    <col min="15111" max="15111" width="12.5703125" style="95" customWidth="1"/>
    <col min="15112" max="15360" width="9.140625" style="95"/>
    <col min="15361" max="15361" width="5.140625" style="95" customWidth="1"/>
    <col min="15362" max="15362" width="47.140625" style="95" customWidth="1"/>
    <col min="15363" max="15363" width="22" style="95" customWidth="1"/>
    <col min="15364" max="15364" width="23.7109375" style="95" customWidth="1"/>
    <col min="15365" max="15365" width="21.140625" style="95" customWidth="1"/>
    <col min="15366" max="15366" width="14.140625" style="95" customWidth="1"/>
    <col min="15367" max="15367" width="12.5703125" style="95" customWidth="1"/>
    <col min="15368" max="15616" width="9.140625" style="95"/>
    <col min="15617" max="15617" width="5.140625" style="95" customWidth="1"/>
    <col min="15618" max="15618" width="47.140625" style="95" customWidth="1"/>
    <col min="15619" max="15619" width="22" style="95" customWidth="1"/>
    <col min="15620" max="15620" width="23.7109375" style="95" customWidth="1"/>
    <col min="15621" max="15621" width="21.140625" style="95" customWidth="1"/>
    <col min="15622" max="15622" width="14.140625" style="95" customWidth="1"/>
    <col min="15623" max="15623" width="12.5703125" style="95" customWidth="1"/>
    <col min="15624" max="15872" width="9.140625" style="95"/>
    <col min="15873" max="15873" width="5.140625" style="95" customWidth="1"/>
    <col min="15874" max="15874" width="47.140625" style="95" customWidth="1"/>
    <col min="15875" max="15875" width="22" style="95" customWidth="1"/>
    <col min="15876" max="15876" width="23.7109375" style="95" customWidth="1"/>
    <col min="15877" max="15877" width="21.140625" style="95" customWidth="1"/>
    <col min="15878" max="15878" width="14.140625" style="95" customWidth="1"/>
    <col min="15879" max="15879" width="12.5703125" style="95" customWidth="1"/>
    <col min="15880" max="16128" width="9.140625" style="95"/>
    <col min="16129" max="16129" width="5.140625" style="95" customWidth="1"/>
    <col min="16130" max="16130" width="47.140625" style="95" customWidth="1"/>
    <col min="16131" max="16131" width="22" style="95" customWidth="1"/>
    <col min="16132" max="16132" width="23.7109375" style="95" customWidth="1"/>
    <col min="16133" max="16133" width="21.140625" style="95" customWidth="1"/>
    <col min="16134" max="16134" width="14.140625" style="95" customWidth="1"/>
    <col min="16135" max="16135" width="12.5703125" style="95" customWidth="1"/>
    <col min="16136" max="16384" width="9.140625" style="95"/>
  </cols>
  <sheetData>
    <row r="1" spans="1:7" x14ac:dyDescent="0.3">
      <c r="E1" s="237" t="s">
        <v>362</v>
      </c>
    </row>
    <row r="2" spans="1:7" ht="69" customHeight="1" x14ac:dyDescent="0.25">
      <c r="A2" s="425" t="s">
        <v>440</v>
      </c>
      <c r="B2" s="425"/>
      <c r="C2" s="425"/>
      <c r="D2" s="425"/>
      <c r="E2" s="425"/>
    </row>
    <row r="3" spans="1:7" ht="18.75" customHeight="1" x14ac:dyDescent="0.3">
      <c r="E3" s="101" t="s">
        <v>357</v>
      </c>
    </row>
    <row r="4" spans="1:7" ht="15" customHeight="1" x14ac:dyDescent="0.25">
      <c r="A4" s="426" t="s">
        <v>0</v>
      </c>
      <c r="B4" s="426" t="s">
        <v>1</v>
      </c>
      <c r="C4" s="427" t="s">
        <v>358</v>
      </c>
      <c r="D4" s="428" t="s">
        <v>407</v>
      </c>
      <c r="E4" s="427" t="s">
        <v>359</v>
      </c>
    </row>
    <row r="5" spans="1:7" ht="66.75" customHeight="1" x14ac:dyDescent="0.25">
      <c r="A5" s="426"/>
      <c r="B5" s="426"/>
      <c r="C5" s="427"/>
      <c r="D5" s="428"/>
      <c r="E5" s="427"/>
    </row>
    <row r="6" spans="1:7" x14ac:dyDescent="0.3">
      <c r="A6" s="96">
        <v>1</v>
      </c>
      <c r="B6" s="96">
        <v>2</v>
      </c>
      <c r="C6" s="227">
        <v>3</v>
      </c>
      <c r="D6" s="227">
        <v>4</v>
      </c>
      <c r="E6" s="227">
        <v>5</v>
      </c>
    </row>
    <row r="7" spans="1:7" x14ac:dyDescent="0.3">
      <c r="A7" s="238">
        <v>1</v>
      </c>
      <c r="B7" s="239" t="s">
        <v>7</v>
      </c>
      <c r="C7" s="240">
        <v>156735</v>
      </c>
      <c r="D7" s="240">
        <v>156735</v>
      </c>
      <c r="E7" s="240">
        <v>0</v>
      </c>
      <c r="F7" s="231"/>
      <c r="G7" s="231"/>
    </row>
    <row r="8" spans="1:7" x14ac:dyDescent="0.3">
      <c r="A8" s="238">
        <v>2</v>
      </c>
      <c r="B8" s="239" t="s">
        <v>8</v>
      </c>
      <c r="C8" s="240">
        <v>214305</v>
      </c>
      <c r="D8" s="240">
        <v>214305</v>
      </c>
      <c r="E8" s="240">
        <v>0</v>
      </c>
      <c r="F8" s="231"/>
      <c r="G8" s="231"/>
    </row>
    <row r="9" spans="1:7" x14ac:dyDescent="0.3">
      <c r="A9" s="238">
        <v>3</v>
      </c>
      <c r="B9" s="239" t="s">
        <v>9</v>
      </c>
      <c r="C9" s="240">
        <v>0</v>
      </c>
      <c r="D9" s="240">
        <v>0</v>
      </c>
      <c r="E9" s="240">
        <v>0</v>
      </c>
      <c r="F9" s="231"/>
      <c r="G9" s="231"/>
    </row>
    <row r="10" spans="1:7" x14ac:dyDescent="0.3">
      <c r="A10" s="238">
        <v>4</v>
      </c>
      <c r="B10" s="239" t="s">
        <v>10</v>
      </c>
      <c r="C10" s="240">
        <v>128310</v>
      </c>
      <c r="D10" s="240">
        <v>128310</v>
      </c>
      <c r="E10" s="240">
        <v>0</v>
      </c>
      <c r="F10" s="231"/>
      <c r="G10" s="231"/>
    </row>
    <row r="11" spans="1:7" x14ac:dyDescent="0.3">
      <c r="A11" s="238">
        <v>5</v>
      </c>
      <c r="B11" s="239" t="s">
        <v>11</v>
      </c>
      <c r="C11" s="240">
        <v>392615</v>
      </c>
      <c r="D11" s="240">
        <v>392615</v>
      </c>
      <c r="E11" s="240">
        <v>0</v>
      </c>
      <c r="F11" s="231"/>
      <c r="G11" s="231"/>
    </row>
    <row r="12" spans="1:7" x14ac:dyDescent="0.3">
      <c r="A12" s="238">
        <v>6</v>
      </c>
      <c r="B12" s="239" t="s">
        <v>12</v>
      </c>
      <c r="C12" s="240">
        <v>187218</v>
      </c>
      <c r="D12" s="240">
        <v>187218</v>
      </c>
      <c r="E12" s="240">
        <v>0</v>
      </c>
      <c r="F12" s="231"/>
      <c r="G12" s="231"/>
    </row>
    <row r="13" spans="1:7" x14ac:dyDescent="0.3">
      <c r="A13" s="238">
        <v>7</v>
      </c>
      <c r="B13" s="239" t="s">
        <v>13</v>
      </c>
      <c r="C13" s="240">
        <v>197517</v>
      </c>
      <c r="D13" s="240">
        <v>197517</v>
      </c>
      <c r="E13" s="240">
        <v>0</v>
      </c>
      <c r="F13" s="231"/>
      <c r="G13" s="231"/>
    </row>
    <row r="14" spans="1:7" x14ac:dyDescent="0.3">
      <c r="A14" s="238">
        <v>8</v>
      </c>
      <c r="B14" s="239" t="s">
        <v>14</v>
      </c>
      <c r="C14" s="240">
        <v>134071</v>
      </c>
      <c r="D14" s="240">
        <v>134071</v>
      </c>
      <c r="E14" s="240">
        <v>0</v>
      </c>
      <c r="F14" s="231"/>
      <c r="G14" s="231"/>
    </row>
    <row r="15" spans="1:7" x14ac:dyDescent="0.3">
      <c r="A15" s="238">
        <v>9</v>
      </c>
      <c r="B15" s="239" t="s">
        <v>15</v>
      </c>
      <c r="C15" s="240">
        <v>154052</v>
      </c>
      <c r="D15" s="240">
        <v>154052</v>
      </c>
      <c r="E15" s="240">
        <v>0</v>
      </c>
      <c r="F15" s="231"/>
      <c r="G15" s="231"/>
    </row>
    <row r="16" spans="1:7" x14ac:dyDescent="0.3">
      <c r="A16" s="238">
        <v>10</v>
      </c>
      <c r="B16" s="239" t="s">
        <v>16</v>
      </c>
      <c r="C16" s="240">
        <v>104729</v>
      </c>
      <c r="D16" s="240">
        <v>69848</v>
      </c>
      <c r="E16" s="240">
        <v>34881</v>
      </c>
      <c r="F16" s="231"/>
      <c r="G16" s="231"/>
    </row>
    <row r="17" spans="1:17" x14ac:dyDescent="0.3">
      <c r="A17" s="238">
        <v>11</v>
      </c>
      <c r="B17" s="239" t="s">
        <v>17</v>
      </c>
      <c r="C17" s="240">
        <v>107794</v>
      </c>
      <c r="D17" s="240">
        <v>51864</v>
      </c>
      <c r="E17" s="240">
        <v>55930</v>
      </c>
      <c r="F17" s="231"/>
      <c r="G17" s="231"/>
    </row>
    <row r="18" spans="1:17" x14ac:dyDescent="0.3">
      <c r="A18" s="238">
        <v>12</v>
      </c>
      <c r="B18" s="239" t="s">
        <v>18</v>
      </c>
      <c r="C18" s="240">
        <v>108615</v>
      </c>
      <c r="D18" s="240">
        <v>81305</v>
      </c>
      <c r="E18" s="240">
        <v>27310</v>
      </c>
      <c r="F18" s="231"/>
      <c r="G18" s="231"/>
    </row>
    <row r="19" spans="1:17" x14ac:dyDescent="0.3">
      <c r="A19" s="238">
        <v>13</v>
      </c>
      <c r="B19" s="239" t="s">
        <v>19</v>
      </c>
      <c r="C19" s="240">
        <v>90690</v>
      </c>
      <c r="D19" s="240">
        <v>47330</v>
      </c>
      <c r="E19" s="240">
        <v>43360</v>
      </c>
      <c r="F19" s="231"/>
      <c r="G19" s="231"/>
      <c r="Q19" s="100"/>
    </row>
    <row r="20" spans="1:17" x14ac:dyDescent="0.3">
      <c r="A20" s="238">
        <v>14</v>
      </c>
      <c r="B20" s="239" t="s">
        <v>20</v>
      </c>
      <c r="C20" s="240">
        <v>66374</v>
      </c>
      <c r="D20" s="240">
        <v>24935</v>
      </c>
      <c r="E20" s="240">
        <v>41439</v>
      </c>
      <c r="F20" s="231"/>
      <c r="G20" s="231"/>
    </row>
    <row r="21" spans="1:17" x14ac:dyDescent="0.3">
      <c r="A21" s="238">
        <v>15</v>
      </c>
      <c r="B21" s="239" t="s">
        <v>21</v>
      </c>
      <c r="C21" s="240">
        <v>117106</v>
      </c>
      <c r="D21" s="240">
        <v>43691</v>
      </c>
      <c r="E21" s="240">
        <v>73415</v>
      </c>
      <c r="F21" s="231"/>
      <c r="G21" s="231"/>
    </row>
    <row r="22" spans="1:17" x14ac:dyDescent="0.3">
      <c r="A22" s="238">
        <v>16</v>
      </c>
      <c r="B22" s="239" t="s">
        <v>22</v>
      </c>
      <c r="C22" s="240">
        <v>73014</v>
      </c>
      <c r="D22" s="240">
        <v>30757</v>
      </c>
      <c r="E22" s="240">
        <v>42257</v>
      </c>
      <c r="F22" s="231"/>
      <c r="G22" s="231"/>
    </row>
    <row r="23" spans="1:17" x14ac:dyDescent="0.3">
      <c r="A23" s="238">
        <v>17</v>
      </c>
      <c r="B23" s="239" t="s">
        <v>23</v>
      </c>
      <c r="C23" s="240">
        <v>75986</v>
      </c>
      <c r="D23" s="240">
        <v>25251</v>
      </c>
      <c r="E23" s="240">
        <v>50735</v>
      </c>
      <c r="F23" s="231"/>
      <c r="G23" s="231"/>
    </row>
    <row r="24" spans="1:17" x14ac:dyDescent="0.3">
      <c r="A24" s="238">
        <v>18</v>
      </c>
      <c r="B24" s="239" t="s">
        <v>24</v>
      </c>
      <c r="C24" s="240">
        <v>82994</v>
      </c>
      <c r="D24" s="240">
        <v>76818</v>
      </c>
      <c r="E24" s="240">
        <v>6176</v>
      </c>
      <c r="F24" s="231"/>
      <c r="G24" s="231"/>
    </row>
    <row r="25" spans="1:17" x14ac:dyDescent="0.3">
      <c r="A25" s="238">
        <v>19</v>
      </c>
      <c r="B25" s="239" t="s">
        <v>25</v>
      </c>
      <c r="C25" s="240">
        <v>86033</v>
      </c>
      <c r="D25" s="240">
        <v>86033</v>
      </c>
      <c r="E25" s="240">
        <v>0</v>
      </c>
      <c r="F25" s="231"/>
      <c r="G25" s="231"/>
    </row>
    <row r="26" spans="1:17" x14ac:dyDescent="0.3">
      <c r="A26" s="238">
        <v>20</v>
      </c>
      <c r="B26" s="239" t="s">
        <v>26</v>
      </c>
      <c r="C26" s="240">
        <v>69228</v>
      </c>
      <c r="D26" s="240">
        <v>28001</v>
      </c>
      <c r="E26" s="240">
        <v>41227</v>
      </c>
      <c r="F26" s="231"/>
      <c r="G26" s="231"/>
    </row>
    <row r="27" spans="1:17" x14ac:dyDescent="0.3">
      <c r="A27" s="238">
        <v>21</v>
      </c>
      <c r="B27" s="239" t="s">
        <v>27</v>
      </c>
      <c r="C27" s="240">
        <v>67669</v>
      </c>
      <c r="D27" s="240">
        <v>67669</v>
      </c>
      <c r="E27" s="240">
        <v>0</v>
      </c>
      <c r="F27" s="231"/>
      <c r="G27" s="231"/>
    </row>
    <row r="28" spans="1:17" x14ac:dyDescent="0.3">
      <c r="A28" s="238">
        <v>22</v>
      </c>
      <c r="B28" s="239" t="s">
        <v>28</v>
      </c>
      <c r="C28" s="240">
        <v>59332</v>
      </c>
      <c r="D28" s="240">
        <v>21594</v>
      </c>
      <c r="E28" s="240">
        <v>37738</v>
      </c>
      <c r="F28" s="231"/>
      <c r="G28" s="231"/>
    </row>
    <row r="29" spans="1:17" x14ac:dyDescent="0.3">
      <c r="A29" s="238">
        <v>23</v>
      </c>
      <c r="B29" s="239" t="s">
        <v>29</v>
      </c>
      <c r="C29" s="240">
        <v>127221</v>
      </c>
      <c r="D29" s="240">
        <v>90901</v>
      </c>
      <c r="E29" s="240">
        <v>36320</v>
      </c>
      <c r="F29" s="231"/>
      <c r="G29" s="231"/>
    </row>
    <row r="30" spans="1:17" x14ac:dyDescent="0.3">
      <c r="A30" s="238">
        <v>24</v>
      </c>
      <c r="B30" s="239" t="s">
        <v>30</v>
      </c>
      <c r="C30" s="240">
        <v>15571</v>
      </c>
      <c r="D30" s="240">
        <v>15571</v>
      </c>
      <c r="E30" s="240">
        <v>0</v>
      </c>
      <c r="F30" s="231"/>
      <c r="G30" s="231"/>
    </row>
    <row r="31" spans="1:17" x14ac:dyDescent="0.3">
      <c r="A31" s="238">
        <v>25</v>
      </c>
      <c r="B31" s="239" t="s">
        <v>31</v>
      </c>
      <c r="C31" s="240">
        <v>105919</v>
      </c>
      <c r="D31" s="240">
        <v>105919</v>
      </c>
      <c r="E31" s="240">
        <v>0</v>
      </c>
      <c r="F31" s="231"/>
      <c r="G31" s="231"/>
    </row>
    <row r="32" spans="1:17" x14ac:dyDescent="0.3">
      <c r="A32" s="238">
        <v>26</v>
      </c>
      <c r="B32" s="239" t="s">
        <v>32</v>
      </c>
      <c r="C32" s="240">
        <v>87211</v>
      </c>
      <c r="D32" s="240">
        <v>74590</v>
      </c>
      <c r="E32" s="240">
        <v>12621</v>
      </c>
      <c r="F32" s="231"/>
      <c r="G32" s="231"/>
    </row>
    <row r="33" spans="1:7" x14ac:dyDescent="0.3">
      <c r="A33" s="238">
        <v>27</v>
      </c>
      <c r="B33" s="239" t="s">
        <v>33</v>
      </c>
      <c r="C33" s="240">
        <v>94033</v>
      </c>
      <c r="D33" s="240">
        <v>53569</v>
      </c>
      <c r="E33" s="240">
        <v>40464</v>
      </c>
      <c r="F33" s="231"/>
      <c r="G33" s="231"/>
    </row>
    <row r="34" spans="1:7" x14ac:dyDescent="0.3">
      <c r="A34" s="238">
        <v>28</v>
      </c>
      <c r="B34" s="239" t="s">
        <v>34</v>
      </c>
      <c r="C34" s="240">
        <v>182842</v>
      </c>
      <c r="D34" s="240">
        <v>182842</v>
      </c>
      <c r="E34" s="240">
        <v>0</v>
      </c>
      <c r="F34" s="231"/>
      <c r="G34" s="231"/>
    </row>
    <row r="35" spans="1:7" x14ac:dyDescent="0.3">
      <c r="A35" s="238">
        <v>29</v>
      </c>
      <c r="B35" s="239" t="s">
        <v>35</v>
      </c>
      <c r="C35" s="240">
        <v>107868</v>
      </c>
      <c r="D35" s="240">
        <v>103531</v>
      </c>
      <c r="E35" s="240">
        <v>4337</v>
      </c>
      <c r="F35" s="231"/>
      <c r="G35" s="231"/>
    </row>
    <row r="36" spans="1:7" x14ac:dyDescent="0.3">
      <c r="A36" s="238">
        <v>30</v>
      </c>
      <c r="B36" s="239" t="s">
        <v>36</v>
      </c>
      <c r="C36" s="240">
        <v>137994</v>
      </c>
      <c r="D36" s="240">
        <v>137994</v>
      </c>
      <c r="E36" s="240">
        <v>0</v>
      </c>
      <c r="F36" s="231"/>
      <c r="G36" s="231"/>
    </row>
    <row r="37" spans="1:7" x14ac:dyDescent="0.3">
      <c r="A37" s="238">
        <v>31</v>
      </c>
      <c r="B37" s="239" t="s">
        <v>37</v>
      </c>
      <c r="C37" s="240">
        <v>129670</v>
      </c>
      <c r="D37" s="240">
        <v>54122</v>
      </c>
      <c r="E37" s="240">
        <v>75548</v>
      </c>
      <c r="F37" s="231"/>
      <c r="G37" s="231"/>
    </row>
    <row r="38" spans="1:7" x14ac:dyDescent="0.3">
      <c r="A38" s="238">
        <v>32</v>
      </c>
      <c r="B38" s="239" t="s">
        <v>38</v>
      </c>
      <c r="C38" s="240">
        <v>51793</v>
      </c>
      <c r="D38" s="240">
        <v>19869</v>
      </c>
      <c r="E38" s="240">
        <v>31924</v>
      </c>
      <c r="F38" s="231"/>
      <c r="G38" s="231"/>
    </row>
    <row r="39" spans="1:7" x14ac:dyDescent="0.3">
      <c r="A39" s="238">
        <v>33</v>
      </c>
      <c r="B39" s="239" t="s">
        <v>39</v>
      </c>
      <c r="C39" s="240">
        <v>137639</v>
      </c>
      <c r="D39" s="240">
        <v>55781</v>
      </c>
      <c r="E39" s="240">
        <v>81858</v>
      </c>
      <c r="F39" s="231"/>
      <c r="G39" s="231"/>
    </row>
    <row r="40" spans="1:7" x14ac:dyDescent="0.3">
      <c r="A40" s="238">
        <v>34</v>
      </c>
      <c r="B40" s="239" t="s">
        <v>40</v>
      </c>
      <c r="C40" s="240">
        <v>72363</v>
      </c>
      <c r="D40" s="240">
        <v>72363</v>
      </c>
      <c r="E40" s="240">
        <v>0</v>
      </c>
      <c r="F40" s="231"/>
      <c r="G40" s="231"/>
    </row>
    <row r="41" spans="1:7" x14ac:dyDescent="0.3">
      <c r="A41" s="238">
        <v>35</v>
      </c>
      <c r="B41" s="239" t="s">
        <v>41</v>
      </c>
      <c r="C41" s="240">
        <v>94472</v>
      </c>
      <c r="D41" s="240">
        <v>56928</v>
      </c>
      <c r="E41" s="240">
        <v>37544</v>
      </c>
      <c r="F41" s="231"/>
      <c r="G41" s="231"/>
    </row>
    <row r="42" spans="1:7" x14ac:dyDescent="0.3">
      <c r="A42" s="238">
        <v>36</v>
      </c>
      <c r="B42" s="239" t="s">
        <v>42</v>
      </c>
      <c r="C42" s="240">
        <v>101191</v>
      </c>
      <c r="D42" s="240">
        <v>44170</v>
      </c>
      <c r="E42" s="240">
        <v>57021</v>
      </c>
      <c r="F42" s="231"/>
      <c r="G42" s="231"/>
    </row>
    <row r="43" spans="1:7" x14ac:dyDescent="0.3">
      <c r="A43" s="238">
        <v>37</v>
      </c>
      <c r="B43" s="239" t="s">
        <v>43</v>
      </c>
      <c r="C43" s="240">
        <v>137496</v>
      </c>
      <c r="D43" s="240">
        <v>114443</v>
      </c>
      <c r="E43" s="240">
        <v>23053</v>
      </c>
      <c r="F43" s="231"/>
      <c r="G43" s="231"/>
    </row>
    <row r="44" spans="1:7" x14ac:dyDescent="0.3">
      <c r="A44" s="238">
        <v>38</v>
      </c>
      <c r="B44" s="239" t="s">
        <v>44</v>
      </c>
      <c r="C44" s="240">
        <v>124338</v>
      </c>
      <c r="D44" s="240">
        <v>93803</v>
      </c>
      <c r="E44" s="240">
        <v>30535</v>
      </c>
      <c r="F44" s="231"/>
      <c r="G44" s="231"/>
    </row>
    <row r="45" spans="1:7" x14ac:dyDescent="0.3">
      <c r="A45" s="238">
        <v>39</v>
      </c>
      <c r="B45" s="239" t="s">
        <v>45</v>
      </c>
      <c r="C45" s="240">
        <v>109766</v>
      </c>
      <c r="D45" s="240">
        <v>109766</v>
      </c>
      <c r="E45" s="240">
        <v>0</v>
      </c>
      <c r="F45" s="231"/>
      <c r="G45" s="231"/>
    </row>
    <row r="46" spans="1:7" x14ac:dyDescent="0.3">
      <c r="A46" s="238">
        <v>40</v>
      </c>
      <c r="B46" s="239" t="s">
        <v>46</v>
      </c>
      <c r="C46" s="240">
        <v>103417</v>
      </c>
      <c r="D46" s="240">
        <v>29450</v>
      </c>
      <c r="E46" s="240">
        <v>73967</v>
      </c>
      <c r="F46" s="231"/>
      <c r="G46" s="231"/>
    </row>
    <row r="47" spans="1:7" x14ac:dyDescent="0.3">
      <c r="A47" s="238">
        <v>41</v>
      </c>
      <c r="B47" s="239" t="s">
        <v>355</v>
      </c>
      <c r="C47" s="240">
        <v>46718</v>
      </c>
      <c r="D47" s="240">
        <v>46718</v>
      </c>
      <c r="E47" s="240">
        <v>0</v>
      </c>
      <c r="F47" s="231"/>
      <c r="G47" s="231"/>
    </row>
    <row r="48" spans="1:7" x14ac:dyDescent="0.3">
      <c r="A48" s="238">
        <v>42</v>
      </c>
      <c r="B48" s="239" t="s">
        <v>356</v>
      </c>
      <c r="C48" s="240">
        <v>0</v>
      </c>
      <c r="D48" s="240">
        <v>0</v>
      </c>
      <c r="E48" s="240">
        <v>0</v>
      </c>
      <c r="F48" s="231"/>
      <c r="G48" s="231"/>
    </row>
    <row r="49" spans="1:7" x14ac:dyDescent="0.3">
      <c r="A49" s="238"/>
      <c r="B49" s="239" t="s">
        <v>361</v>
      </c>
      <c r="C49" s="240">
        <v>236197</v>
      </c>
      <c r="D49" s="240">
        <v>236197</v>
      </c>
      <c r="E49" s="240">
        <v>0</v>
      </c>
      <c r="F49" s="231"/>
      <c r="G49" s="231"/>
    </row>
    <row r="50" spans="1:7" x14ac:dyDescent="0.3">
      <c r="A50" s="99"/>
      <c r="B50" s="241" t="s">
        <v>49</v>
      </c>
      <c r="C50" s="154">
        <v>4878106</v>
      </c>
      <c r="D50" s="154">
        <v>3918446</v>
      </c>
      <c r="E50" s="154">
        <v>959660</v>
      </c>
      <c r="F50" s="231"/>
      <c r="G50" s="231"/>
    </row>
    <row r="51" spans="1:7" x14ac:dyDescent="0.3">
      <c r="D51" s="235"/>
    </row>
    <row r="52" spans="1:7" x14ac:dyDescent="0.3">
      <c r="C52" s="235"/>
      <c r="D52" s="235"/>
      <c r="E52" s="235"/>
    </row>
    <row r="53" spans="1:7" x14ac:dyDescent="0.3">
      <c r="D53" s="235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55118110236227" right="0.39370078740157483" top="0.39370078740157483" bottom="0.39370078740157483" header="0" footer="0"/>
  <pageSetup paperSize="9" scale="75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49"/>
  <sheetViews>
    <sheetView view="pageBreakPreview" zoomScaleNormal="85" zoomScaleSheetLayoutView="100" workbookViewId="0">
      <selection activeCell="J9" sqref="J9"/>
    </sheetView>
  </sheetViews>
  <sheetFormatPr defaultRowHeight="18" x14ac:dyDescent="0.25"/>
  <cols>
    <col min="1" max="1" width="7.140625" style="148" bestFit="1" customWidth="1"/>
    <col min="2" max="2" width="57.140625" style="148" customWidth="1"/>
    <col min="3" max="3" width="15.5703125" style="148" customWidth="1"/>
    <col min="4" max="4" width="15.7109375" style="148" customWidth="1"/>
    <col min="5" max="5" width="15.42578125" style="148" customWidth="1"/>
    <col min="6" max="256" width="9.140625" style="148"/>
    <col min="257" max="257" width="17.140625" style="148" customWidth="1"/>
    <col min="258" max="258" width="47.28515625" style="148" customWidth="1"/>
    <col min="259" max="260" width="13" style="148" customWidth="1"/>
    <col min="261" max="261" width="13.5703125" style="148" customWidth="1"/>
    <col min="262" max="512" width="9.140625" style="148"/>
    <col min="513" max="513" width="17.140625" style="148" customWidth="1"/>
    <col min="514" max="514" width="47.28515625" style="148" customWidth="1"/>
    <col min="515" max="516" width="13" style="148" customWidth="1"/>
    <col min="517" max="517" width="13.5703125" style="148" customWidth="1"/>
    <col min="518" max="768" width="9.140625" style="148"/>
    <col min="769" max="769" width="17.140625" style="148" customWidth="1"/>
    <col min="770" max="770" width="47.28515625" style="148" customWidth="1"/>
    <col min="771" max="772" width="13" style="148" customWidth="1"/>
    <col min="773" max="773" width="13.5703125" style="148" customWidth="1"/>
    <col min="774" max="1024" width="9.140625" style="148"/>
    <col min="1025" max="1025" width="17.140625" style="148" customWidth="1"/>
    <col min="1026" max="1026" width="47.28515625" style="148" customWidth="1"/>
    <col min="1027" max="1028" width="13" style="148" customWidth="1"/>
    <col min="1029" max="1029" width="13.5703125" style="148" customWidth="1"/>
    <col min="1030" max="1280" width="9.140625" style="148"/>
    <col min="1281" max="1281" width="17.140625" style="148" customWidth="1"/>
    <col min="1282" max="1282" width="47.28515625" style="148" customWidth="1"/>
    <col min="1283" max="1284" width="13" style="148" customWidth="1"/>
    <col min="1285" max="1285" width="13.5703125" style="148" customWidth="1"/>
    <col min="1286" max="1536" width="9.140625" style="148"/>
    <col min="1537" max="1537" width="17.140625" style="148" customWidth="1"/>
    <col min="1538" max="1538" width="47.28515625" style="148" customWidth="1"/>
    <col min="1539" max="1540" width="13" style="148" customWidth="1"/>
    <col min="1541" max="1541" width="13.5703125" style="148" customWidth="1"/>
    <col min="1542" max="1792" width="9.140625" style="148"/>
    <col min="1793" max="1793" width="17.140625" style="148" customWidth="1"/>
    <col min="1794" max="1794" width="47.28515625" style="148" customWidth="1"/>
    <col min="1795" max="1796" width="13" style="148" customWidth="1"/>
    <col min="1797" max="1797" width="13.5703125" style="148" customWidth="1"/>
    <col min="1798" max="2048" width="9.140625" style="148"/>
    <col min="2049" max="2049" width="17.140625" style="148" customWidth="1"/>
    <col min="2050" max="2050" width="47.28515625" style="148" customWidth="1"/>
    <col min="2051" max="2052" width="13" style="148" customWidth="1"/>
    <col min="2053" max="2053" width="13.5703125" style="148" customWidth="1"/>
    <col min="2054" max="2304" width="9.140625" style="148"/>
    <col min="2305" max="2305" width="17.140625" style="148" customWidth="1"/>
    <col min="2306" max="2306" width="47.28515625" style="148" customWidth="1"/>
    <col min="2307" max="2308" width="13" style="148" customWidth="1"/>
    <col min="2309" max="2309" width="13.5703125" style="148" customWidth="1"/>
    <col min="2310" max="2560" width="9.140625" style="148"/>
    <col min="2561" max="2561" width="17.140625" style="148" customWidth="1"/>
    <col min="2562" max="2562" width="47.28515625" style="148" customWidth="1"/>
    <col min="2563" max="2564" width="13" style="148" customWidth="1"/>
    <col min="2565" max="2565" width="13.5703125" style="148" customWidth="1"/>
    <col min="2566" max="2816" width="9.140625" style="148"/>
    <col min="2817" max="2817" width="17.140625" style="148" customWidth="1"/>
    <col min="2818" max="2818" width="47.28515625" style="148" customWidth="1"/>
    <col min="2819" max="2820" width="13" style="148" customWidth="1"/>
    <col min="2821" max="2821" width="13.5703125" style="148" customWidth="1"/>
    <col min="2822" max="3072" width="9.140625" style="148"/>
    <col min="3073" max="3073" width="17.140625" style="148" customWidth="1"/>
    <col min="3074" max="3074" width="47.28515625" style="148" customWidth="1"/>
    <col min="3075" max="3076" width="13" style="148" customWidth="1"/>
    <col min="3077" max="3077" width="13.5703125" style="148" customWidth="1"/>
    <col min="3078" max="3328" width="9.140625" style="148"/>
    <col min="3329" max="3329" width="17.140625" style="148" customWidth="1"/>
    <col min="3330" max="3330" width="47.28515625" style="148" customWidth="1"/>
    <col min="3331" max="3332" width="13" style="148" customWidth="1"/>
    <col min="3333" max="3333" width="13.5703125" style="148" customWidth="1"/>
    <col min="3334" max="3584" width="9.140625" style="148"/>
    <col min="3585" max="3585" width="17.140625" style="148" customWidth="1"/>
    <col min="3586" max="3586" width="47.28515625" style="148" customWidth="1"/>
    <col min="3587" max="3588" width="13" style="148" customWidth="1"/>
    <col min="3589" max="3589" width="13.5703125" style="148" customWidth="1"/>
    <col min="3590" max="3840" width="9.140625" style="148"/>
    <col min="3841" max="3841" width="17.140625" style="148" customWidth="1"/>
    <col min="3842" max="3842" width="47.28515625" style="148" customWidth="1"/>
    <col min="3843" max="3844" width="13" style="148" customWidth="1"/>
    <col min="3845" max="3845" width="13.5703125" style="148" customWidth="1"/>
    <col min="3846" max="4096" width="9.140625" style="148"/>
    <col min="4097" max="4097" width="17.140625" style="148" customWidth="1"/>
    <col min="4098" max="4098" width="47.28515625" style="148" customWidth="1"/>
    <col min="4099" max="4100" width="13" style="148" customWidth="1"/>
    <col min="4101" max="4101" width="13.5703125" style="148" customWidth="1"/>
    <col min="4102" max="4352" width="9.140625" style="148"/>
    <col min="4353" max="4353" width="17.140625" style="148" customWidth="1"/>
    <col min="4354" max="4354" width="47.28515625" style="148" customWidth="1"/>
    <col min="4355" max="4356" width="13" style="148" customWidth="1"/>
    <col min="4357" max="4357" width="13.5703125" style="148" customWidth="1"/>
    <col min="4358" max="4608" width="9.140625" style="148"/>
    <col min="4609" max="4609" width="17.140625" style="148" customWidth="1"/>
    <col min="4610" max="4610" width="47.28515625" style="148" customWidth="1"/>
    <col min="4611" max="4612" width="13" style="148" customWidth="1"/>
    <col min="4613" max="4613" width="13.5703125" style="148" customWidth="1"/>
    <col min="4614" max="4864" width="9.140625" style="148"/>
    <col min="4865" max="4865" width="17.140625" style="148" customWidth="1"/>
    <col min="4866" max="4866" width="47.28515625" style="148" customWidth="1"/>
    <col min="4867" max="4868" width="13" style="148" customWidth="1"/>
    <col min="4869" max="4869" width="13.5703125" style="148" customWidth="1"/>
    <col min="4870" max="5120" width="9.140625" style="148"/>
    <col min="5121" max="5121" width="17.140625" style="148" customWidth="1"/>
    <col min="5122" max="5122" width="47.28515625" style="148" customWidth="1"/>
    <col min="5123" max="5124" width="13" style="148" customWidth="1"/>
    <col min="5125" max="5125" width="13.5703125" style="148" customWidth="1"/>
    <col min="5126" max="5376" width="9.140625" style="148"/>
    <col min="5377" max="5377" width="17.140625" style="148" customWidth="1"/>
    <col min="5378" max="5378" width="47.28515625" style="148" customWidth="1"/>
    <col min="5379" max="5380" width="13" style="148" customWidth="1"/>
    <col min="5381" max="5381" width="13.5703125" style="148" customWidth="1"/>
    <col min="5382" max="5632" width="9.140625" style="148"/>
    <col min="5633" max="5633" width="17.140625" style="148" customWidth="1"/>
    <col min="5634" max="5634" width="47.28515625" style="148" customWidth="1"/>
    <col min="5635" max="5636" width="13" style="148" customWidth="1"/>
    <col min="5637" max="5637" width="13.5703125" style="148" customWidth="1"/>
    <col min="5638" max="5888" width="9.140625" style="148"/>
    <col min="5889" max="5889" width="17.140625" style="148" customWidth="1"/>
    <col min="5890" max="5890" width="47.28515625" style="148" customWidth="1"/>
    <col min="5891" max="5892" width="13" style="148" customWidth="1"/>
    <col min="5893" max="5893" width="13.5703125" style="148" customWidth="1"/>
    <col min="5894" max="6144" width="9.140625" style="148"/>
    <col min="6145" max="6145" width="17.140625" style="148" customWidth="1"/>
    <col min="6146" max="6146" width="47.28515625" style="148" customWidth="1"/>
    <col min="6147" max="6148" width="13" style="148" customWidth="1"/>
    <col min="6149" max="6149" width="13.5703125" style="148" customWidth="1"/>
    <col min="6150" max="6400" width="9.140625" style="148"/>
    <col min="6401" max="6401" width="17.140625" style="148" customWidth="1"/>
    <col min="6402" max="6402" width="47.28515625" style="148" customWidth="1"/>
    <col min="6403" max="6404" width="13" style="148" customWidth="1"/>
    <col min="6405" max="6405" width="13.5703125" style="148" customWidth="1"/>
    <col min="6406" max="6656" width="9.140625" style="148"/>
    <col min="6657" max="6657" width="17.140625" style="148" customWidth="1"/>
    <col min="6658" max="6658" width="47.28515625" style="148" customWidth="1"/>
    <col min="6659" max="6660" width="13" style="148" customWidth="1"/>
    <col min="6661" max="6661" width="13.5703125" style="148" customWidth="1"/>
    <col min="6662" max="6912" width="9.140625" style="148"/>
    <col min="6913" max="6913" width="17.140625" style="148" customWidth="1"/>
    <col min="6914" max="6914" width="47.28515625" style="148" customWidth="1"/>
    <col min="6915" max="6916" width="13" style="148" customWidth="1"/>
    <col min="6917" max="6917" width="13.5703125" style="148" customWidth="1"/>
    <col min="6918" max="7168" width="9.140625" style="148"/>
    <col min="7169" max="7169" width="17.140625" style="148" customWidth="1"/>
    <col min="7170" max="7170" width="47.28515625" style="148" customWidth="1"/>
    <col min="7171" max="7172" width="13" style="148" customWidth="1"/>
    <col min="7173" max="7173" width="13.5703125" style="148" customWidth="1"/>
    <col min="7174" max="7424" width="9.140625" style="148"/>
    <col min="7425" max="7425" width="17.140625" style="148" customWidth="1"/>
    <col min="7426" max="7426" width="47.28515625" style="148" customWidth="1"/>
    <col min="7427" max="7428" width="13" style="148" customWidth="1"/>
    <col min="7429" max="7429" width="13.5703125" style="148" customWidth="1"/>
    <col min="7430" max="7680" width="9.140625" style="148"/>
    <col min="7681" max="7681" width="17.140625" style="148" customWidth="1"/>
    <col min="7682" max="7682" width="47.28515625" style="148" customWidth="1"/>
    <col min="7683" max="7684" width="13" style="148" customWidth="1"/>
    <col min="7685" max="7685" width="13.5703125" style="148" customWidth="1"/>
    <col min="7686" max="7936" width="9.140625" style="148"/>
    <col min="7937" max="7937" width="17.140625" style="148" customWidth="1"/>
    <col min="7938" max="7938" width="47.28515625" style="148" customWidth="1"/>
    <col min="7939" max="7940" width="13" style="148" customWidth="1"/>
    <col min="7941" max="7941" width="13.5703125" style="148" customWidth="1"/>
    <col min="7942" max="8192" width="9.140625" style="148"/>
    <col min="8193" max="8193" width="17.140625" style="148" customWidth="1"/>
    <col min="8194" max="8194" width="47.28515625" style="148" customWidth="1"/>
    <col min="8195" max="8196" width="13" style="148" customWidth="1"/>
    <col min="8197" max="8197" width="13.5703125" style="148" customWidth="1"/>
    <col min="8198" max="8448" width="9.140625" style="148"/>
    <col min="8449" max="8449" width="17.140625" style="148" customWidth="1"/>
    <col min="8450" max="8450" width="47.28515625" style="148" customWidth="1"/>
    <col min="8451" max="8452" width="13" style="148" customWidth="1"/>
    <col min="8453" max="8453" width="13.5703125" style="148" customWidth="1"/>
    <col min="8454" max="8704" width="9.140625" style="148"/>
    <col min="8705" max="8705" width="17.140625" style="148" customWidth="1"/>
    <col min="8706" max="8706" width="47.28515625" style="148" customWidth="1"/>
    <col min="8707" max="8708" width="13" style="148" customWidth="1"/>
    <col min="8709" max="8709" width="13.5703125" style="148" customWidth="1"/>
    <col min="8710" max="8960" width="9.140625" style="148"/>
    <col min="8961" max="8961" width="17.140625" style="148" customWidth="1"/>
    <col min="8962" max="8962" width="47.28515625" style="148" customWidth="1"/>
    <col min="8963" max="8964" width="13" style="148" customWidth="1"/>
    <col min="8965" max="8965" width="13.5703125" style="148" customWidth="1"/>
    <col min="8966" max="9216" width="9.140625" style="148"/>
    <col min="9217" max="9217" width="17.140625" style="148" customWidth="1"/>
    <col min="9218" max="9218" width="47.28515625" style="148" customWidth="1"/>
    <col min="9219" max="9220" width="13" style="148" customWidth="1"/>
    <col min="9221" max="9221" width="13.5703125" style="148" customWidth="1"/>
    <col min="9222" max="9472" width="9.140625" style="148"/>
    <col min="9473" max="9473" width="17.140625" style="148" customWidth="1"/>
    <col min="9474" max="9474" width="47.28515625" style="148" customWidth="1"/>
    <col min="9475" max="9476" width="13" style="148" customWidth="1"/>
    <col min="9477" max="9477" width="13.5703125" style="148" customWidth="1"/>
    <col min="9478" max="9728" width="9.140625" style="148"/>
    <col min="9729" max="9729" width="17.140625" style="148" customWidth="1"/>
    <col min="9730" max="9730" width="47.28515625" style="148" customWidth="1"/>
    <col min="9731" max="9732" width="13" style="148" customWidth="1"/>
    <col min="9733" max="9733" width="13.5703125" style="148" customWidth="1"/>
    <col min="9734" max="9984" width="9.140625" style="148"/>
    <col min="9985" max="9985" width="17.140625" style="148" customWidth="1"/>
    <col min="9986" max="9986" width="47.28515625" style="148" customWidth="1"/>
    <col min="9987" max="9988" width="13" style="148" customWidth="1"/>
    <col min="9989" max="9989" width="13.5703125" style="148" customWidth="1"/>
    <col min="9990" max="10240" width="9.140625" style="148"/>
    <col min="10241" max="10241" width="17.140625" style="148" customWidth="1"/>
    <col min="10242" max="10242" width="47.28515625" style="148" customWidth="1"/>
    <col min="10243" max="10244" width="13" style="148" customWidth="1"/>
    <col min="10245" max="10245" width="13.5703125" style="148" customWidth="1"/>
    <col min="10246" max="10496" width="9.140625" style="148"/>
    <col min="10497" max="10497" width="17.140625" style="148" customWidth="1"/>
    <col min="10498" max="10498" width="47.28515625" style="148" customWidth="1"/>
    <col min="10499" max="10500" width="13" style="148" customWidth="1"/>
    <col min="10501" max="10501" width="13.5703125" style="148" customWidth="1"/>
    <col min="10502" max="10752" width="9.140625" style="148"/>
    <col min="10753" max="10753" width="17.140625" style="148" customWidth="1"/>
    <col min="10754" max="10754" width="47.28515625" style="148" customWidth="1"/>
    <col min="10755" max="10756" width="13" style="148" customWidth="1"/>
    <col min="10757" max="10757" width="13.5703125" style="148" customWidth="1"/>
    <col min="10758" max="11008" width="9.140625" style="148"/>
    <col min="11009" max="11009" width="17.140625" style="148" customWidth="1"/>
    <col min="11010" max="11010" width="47.28515625" style="148" customWidth="1"/>
    <col min="11011" max="11012" width="13" style="148" customWidth="1"/>
    <col min="11013" max="11013" width="13.5703125" style="148" customWidth="1"/>
    <col min="11014" max="11264" width="9.140625" style="148"/>
    <col min="11265" max="11265" width="17.140625" style="148" customWidth="1"/>
    <col min="11266" max="11266" width="47.28515625" style="148" customWidth="1"/>
    <col min="11267" max="11268" width="13" style="148" customWidth="1"/>
    <col min="11269" max="11269" width="13.5703125" style="148" customWidth="1"/>
    <col min="11270" max="11520" width="9.140625" style="148"/>
    <col min="11521" max="11521" width="17.140625" style="148" customWidth="1"/>
    <col min="11522" max="11522" width="47.28515625" style="148" customWidth="1"/>
    <col min="11523" max="11524" width="13" style="148" customWidth="1"/>
    <col min="11525" max="11525" width="13.5703125" style="148" customWidth="1"/>
    <col min="11526" max="11776" width="9.140625" style="148"/>
    <col min="11777" max="11777" width="17.140625" style="148" customWidth="1"/>
    <col min="11778" max="11778" width="47.28515625" style="148" customWidth="1"/>
    <col min="11779" max="11780" width="13" style="148" customWidth="1"/>
    <col min="11781" max="11781" width="13.5703125" style="148" customWidth="1"/>
    <col min="11782" max="12032" width="9.140625" style="148"/>
    <col min="12033" max="12033" width="17.140625" style="148" customWidth="1"/>
    <col min="12034" max="12034" width="47.28515625" style="148" customWidth="1"/>
    <col min="12035" max="12036" width="13" style="148" customWidth="1"/>
    <col min="12037" max="12037" width="13.5703125" style="148" customWidth="1"/>
    <col min="12038" max="12288" width="9.140625" style="148"/>
    <col min="12289" max="12289" width="17.140625" style="148" customWidth="1"/>
    <col min="12290" max="12290" width="47.28515625" style="148" customWidth="1"/>
    <col min="12291" max="12292" width="13" style="148" customWidth="1"/>
    <col min="12293" max="12293" width="13.5703125" style="148" customWidth="1"/>
    <col min="12294" max="12544" width="9.140625" style="148"/>
    <col min="12545" max="12545" width="17.140625" style="148" customWidth="1"/>
    <col min="12546" max="12546" width="47.28515625" style="148" customWidth="1"/>
    <col min="12547" max="12548" width="13" style="148" customWidth="1"/>
    <col min="12549" max="12549" width="13.5703125" style="148" customWidth="1"/>
    <col min="12550" max="12800" width="9.140625" style="148"/>
    <col min="12801" max="12801" width="17.140625" style="148" customWidth="1"/>
    <col min="12802" max="12802" width="47.28515625" style="148" customWidth="1"/>
    <col min="12803" max="12804" width="13" style="148" customWidth="1"/>
    <col min="12805" max="12805" width="13.5703125" style="148" customWidth="1"/>
    <col min="12806" max="13056" width="9.140625" style="148"/>
    <col min="13057" max="13057" width="17.140625" style="148" customWidth="1"/>
    <col min="13058" max="13058" width="47.28515625" style="148" customWidth="1"/>
    <col min="13059" max="13060" width="13" style="148" customWidth="1"/>
    <col min="13061" max="13061" width="13.5703125" style="148" customWidth="1"/>
    <col min="13062" max="13312" width="9.140625" style="148"/>
    <col min="13313" max="13313" width="17.140625" style="148" customWidth="1"/>
    <col min="13314" max="13314" width="47.28515625" style="148" customWidth="1"/>
    <col min="13315" max="13316" width="13" style="148" customWidth="1"/>
    <col min="13317" max="13317" width="13.5703125" style="148" customWidth="1"/>
    <col min="13318" max="13568" width="9.140625" style="148"/>
    <col min="13569" max="13569" width="17.140625" style="148" customWidth="1"/>
    <col min="13570" max="13570" width="47.28515625" style="148" customWidth="1"/>
    <col min="13571" max="13572" width="13" style="148" customWidth="1"/>
    <col min="13573" max="13573" width="13.5703125" style="148" customWidth="1"/>
    <col min="13574" max="13824" width="9.140625" style="148"/>
    <col min="13825" max="13825" width="17.140625" style="148" customWidth="1"/>
    <col min="13826" max="13826" width="47.28515625" style="148" customWidth="1"/>
    <col min="13827" max="13828" width="13" style="148" customWidth="1"/>
    <col min="13829" max="13829" width="13.5703125" style="148" customWidth="1"/>
    <col min="13830" max="14080" width="9.140625" style="148"/>
    <col min="14081" max="14081" width="17.140625" style="148" customWidth="1"/>
    <col min="14082" max="14082" width="47.28515625" style="148" customWidth="1"/>
    <col min="14083" max="14084" width="13" style="148" customWidth="1"/>
    <col min="14085" max="14085" width="13.5703125" style="148" customWidth="1"/>
    <col min="14086" max="14336" width="9.140625" style="148"/>
    <col min="14337" max="14337" width="17.140625" style="148" customWidth="1"/>
    <col min="14338" max="14338" width="47.28515625" style="148" customWidth="1"/>
    <col min="14339" max="14340" width="13" style="148" customWidth="1"/>
    <col min="14341" max="14341" width="13.5703125" style="148" customWidth="1"/>
    <col min="14342" max="14592" width="9.140625" style="148"/>
    <col min="14593" max="14593" width="17.140625" style="148" customWidth="1"/>
    <col min="14594" max="14594" width="47.28515625" style="148" customWidth="1"/>
    <col min="14595" max="14596" width="13" style="148" customWidth="1"/>
    <col min="14597" max="14597" width="13.5703125" style="148" customWidth="1"/>
    <col min="14598" max="14848" width="9.140625" style="148"/>
    <col min="14849" max="14849" width="17.140625" style="148" customWidth="1"/>
    <col min="14850" max="14850" width="47.28515625" style="148" customWidth="1"/>
    <col min="14851" max="14852" width="13" style="148" customWidth="1"/>
    <col min="14853" max="14853" width="13.5703125" style="148" customWidth="1"/>
    <col min="14854" max="15104" width="9.140625" style="148"/>
    <col min="15105" max="15105" width="17.140625" style="148" customWidth="1"/>
    <col min="15106" max="15106" width="47.28515625" style="148" customWidth="1"/>
    <col min="15107" max="15108" width="13" style="148" customWidth="1"/>
    <col min="15109" max="15109" width="13.5703125" style="148" customWidth="1"/>
    <col min="15110" max="15360" width="9.140625" style="148"/>
    <col min="15361" max="15361" width="17.140625" style="148" customWidth="1"/>
    <col min="15362" max="15362" width="47.28515625" style="148" customWidth="1"/>
    <col min="15363" max="15364" width="13" style="148" customWidth="1"/>
    <col min="15365" max="15365" width="13.5703125" style="148" customWidth="1"/>
    <col min="15366" max="15616" width="9.140625" style="148"/>
    <col min="15617" max="15617" width="17.140625" style="148" customWidth="1"/>
    <col min="15618" max="15618" width="47.28515625" style="148" customWidth="1"/>
    <col min="15619" max="15620" width="13" style="148" customWidth="1"/>
    <col min="15621" max="15621" width="13.5703125" style="148" customWidth="1"/>
    <col min="15622" max="15872" width="9.140625" style="148"/>
    <col min="15873" max="15873" width="17.140625" style="148" customWidth="1"/>
    <col min="15874" max="15874" width="47.28515625" style="148" customWidth="1"/>
    <col min="15875" max="15876" width="13" style="148" customWidth="1"/>
    <col min="15877" max="15877" width="13.5703125" style="148" customWidth="1"/>
    <col min="15878" max="16128" width="9.140625" style="148"/>
    <col min="16129" max="16129" width="17.140625" style="148" customWidth="1"/>
    <col min="16130" max="16130" width="47.28515625" style="148" customWidth="1"/>
    <col min="16131" max="16132" width="13" style="148" customWidth="1"/>
    <col min="16133" max="16133" width="13.5703125" style="148" customWidth="1"/>
    <col min="16134" max="16384" width="9.140625" style="148"/>
  </cols>
  <sheetData>
    <row r="1" spans="1:5" ht="18.75" x14ac:dyDescent="0.25">
      <c r="A1" s="513" t="s">
        <v>389</v>
      </c>
      <c r="B1" s="513"/>
      <c r="C1" s="513"/>
      <c r="D1" s="513"/>
      <c r="E1" s="513"/>
    </row>
    <row r="2" spans="1:5" ht="61.5" customHeight="1" x14ac:dyDescent="0.25">
      <c r="A2" s="471" t="s">
        <v>452</v>
      </c>
      <c r="B2" s="471"/>
      <c r="C2" s="471"/>
      <c r="D2" s="471"/>
      <c r="E2" s="471"/>
    </row>
    <row r="3" spans="1:5" ht="18.75" x14ac:dyDescent="0.25">
      <c r="A3" s="428" t="s">
        <v>51</v>
      </c>
      <c r="B3" s="428" t="s">
        <v>52</v>
      </c>
      <c r="C3" s="428" t="s">
        <v>2</v>
      </c>
      <c r="D3" s="428"/>
      <c r="E3" s="428"/>
    </row>
    <row r="4" spans="1:5" ht="18.75" x14ac:dyDescent="0.25">
      <c r="A4" s="428"/>
      <c r="B4" s="428"/>
      <c r="C4" s="428" t="s">
        <v>3</v>
      </c>
      <c r="D4" s="428" t="s">
        <v>4</v>
      </c>
      <c r="E4" s="428"/>
    </row>
    <row r="5" spans="1:5" ht="18.75" x14ac:dyDescent="0.25">
      <c r="A5" s="428"/>
      <c r="B5" s="428"/>
      <c r="C5" s="428"/>
      <c r="D5" s="121" t="s">
        <v>5</v>
      </c>
      <c r="E5" s="121" t="s">
        <v>6</v>
      </c>
    </row>
    <row r="6" spans="1:5" ht="18.75" x14ac:dyDescent="0.25">
      <c r="A6" s="149">
        <v>1</v>
      </c>
      <c r="B6" s="149">
        <v>2</v>
      </c>
      <c r="C6" s="149">
        <v>3</v>
      </c>
      <c r="D6" s="149">
        <v>4</v>
      </c>
      <c r="E6" s="149">
        <v>5</v>
      </c>
    </row>
    <row r="7" spans="1:5" ht="18.75" x14ac:dyDescent="0.25">
      <c r="A7" s="121">
        <v>1</v>
      </c>
      <c r="B7" s="155" t="s">
        <v>7</v>
      </c>
      <c r="C7" s="150">
        <v>14003.7</v>
      </c>
      <c r="D7" s="150">
        <v>14003.7</v>
      </c>
      <c r="E7" s="150">
        <v>14003.7</v>
      </c>
    </row>
    <row r="8" spans="1:5" ht="18.75" x14ac:dyDescent="0.25">
      <c r="A8" s="121">
        <v>2</v>
      </c>
      <c r="B8" s="155" t="s">
        <v>8</v>
      </c>
      <c r="C8" s="150">
        <v>18429.900000000001</v>
      </c>
      <c r="D8" s="150">
        <v>18429.900000000001</v>
      </c>
      <c r="E8" s="150">
        <v>18429.900000000001</v>
      </c>
    </row>
    <row r="9" spans="1:5" ht="18.75" x14ac:dyDescent="0.25">
      <c r="A9" s="121">
        <v>3</v>
      </c>
      <c r="B9" s="155" t="s">
        <v>9</v>
      </c>
      <c r="C9" s="150">
        <v>64946.2</v>
      </c>
      <c r="D9" s="150">
        <v>64946.2</v>
      </c>
      <c r="E9" s="150">
        <v>64946.2</v>
      </c>
    </row>
    <row r="10" spans="1:5" ht="18.75" x14ac:dyDescent="0.25">
      <c r="A10" s="121">
        <v>4</v>
      </c>
      <c r="B10" s="155" t="s">
        <v>10</v>
      </c>
      <c r="C10" s="150">
        <v>13192.8</v>
      </c>
      <c r="D10" s="150">
        <v>13192.8</v>
      </c>
      <c r="E10" s="150">
        <v>13192.8</v>
      </c>
    </row>
    <row r="11" spans="1:5" ht="18.75" x14ac:dyDescent="0.25">
      <c r="A11" s="121">
        <v>5</v>
      </c>
      <c r="B11" s="155" t="s">
        <v>11</v>
      </c>
      <c r="C11" s="150">
        <v>30442</v>
      </c>
      <c r="D11" s="150">
        <v>30442</v>
      </c>
      <c r="E11" s="150">
        <v>30442</v>
      </c>
    </row>
    <row r="12" spans="1:5" ht="18.75" x14ac:dyDescent="0.25">
      <c r="A12" s="121">
        <v>6</v>
      </c>
      <c r="B12" s="155" t="s">
        <v>12</v>
      </c>
      <c r="C12" s="150">
        <v>9163.9</v>
      </c>
      <c r="D12" s="150">
        <v>9163.9</v>
      </c>
      <c r="E12" s="150">
        <v>9163.9</v>
      </c>
    </row>
    <row r="13" spans="1:5" ht="18.75" x14ac:dyDescent="0.25">
      <c r="A13" s="121">
        <v>7</v>
      </c>
      <c r="B13" s="155" t="s">
        <v>13</v>
      </c>
      <c r="C13" s="150">
        <v>13952.8</v>
      </c>
      <c r="D13" s="150">
        <v>13952.8</v>
      </c>
      <c r="E13" s="150">
        <v>13952.8</v>
      </c>
    </row>
    <row r="14" spans="1:5" ht="18.75" x14ac:dyDescent="0.25">
      <c r="A14" s="121">
        <v>8</v>
      </c>
      <c r="B14" s="155" t="s">
        <v>14</v>
      </c>
      <c r="C14" s="150">
        <v>17891.900000000001</v>
      </c>
      <c r="D14" s="150">
        <v>17891.900000000001</v>
      </c>
      <c r="E14" s="150">
        <v>17891.900000000001</v>
      </c>
    </row>
    <row r="15" spans="1:5" ht="18.75" x14ac:dyDescent="0.25">
      <c r="A15" s="121">
        <v>9</v>
      </c>
      <c r="B15" s="155" t="s">
        <v>15</v>
      </c>
      <c r="C15" s="150">
        <v>14365.4</v>
      </c>
      <c r="D15" s="150">
        <v>14365.4</v>
      </c>
      <c r="E15" s="150">
        <v>14365.4</v>
      </c>
    </row>
    <row r="16" spans="1:5" ht="18.75" x14ac:dyDescent="0.25">
      <c r="A16" s="121">
        <v>10</v>
      </c>
      <c r="B16" s="156" t="s">
        <v>16</v>
      </c>
      <c r="C16" s="150">
        <v>14032.5</v>
      </c>
      <c r="D16" s="150">
        <v>14032.5</v>
      </c>
      <c r="E16" s="150">
        <v>14032.5</v>
      </c>
    </row>
    <row r="17" spans="1:17" ht="18.75" x14ac:dyDescent="0.25">
      <c r="A17" s="121">
        <v>11</v>
      </c>
      <c r="B17" s="156" t="s">
        <v>17</v>
      </c>
      <c r="C17" s="150">
        <v>6908.5</v>
      </c>
      <c r="D17" s="150">
        <v>6908.5</v>
      </c>
      <c r="E17" s="150">
        <v>6908.5</v>
      </c>
    </row>
    <row r="18" spans="1:17" ht="18.75" x14ac:dyDescent="0.25">
      <c r="A18" s="121">
        <v>12</v>
      </c>
      <c r="B18" s="155" t="s">
        <v>18</v>
      </c>
      <c r="C18" s="150">
        <v>10748.6</v>
      </c>
      <c r="D18" s="150">
        <v>10748.6</v>
      </c>
      <c r="E18" s="150">
        <v>10748.6</v>
      </c>
    </row>
    <row r="19" spans="1:17" ht="18.75" x14ac:dyDescent="0.3">
      <c r="A19" s="121">
        <v>13</v>
      </c>
      <c r="B19" s="155" t="s">
        <v>19</v>
      </c>
      <c r="C19" s="150">
        <v>10690.9</v>
      </c>
      <c r="D19" s="150">
        <v>10690.9</v>
      </c>
      <c r="E19" s="150">
        <v>10690.9</v>
      </c>
      <c r="Q19" s="220"/>
    </row>
    <row r="20" spans="1:17" ht="18.75" x14ac:dyDescent="0.25">
      <c r="A20" s="121">
        <v>14</v>
      </c>
      <c r="B20" s="155" t="s">
        <v>20</v>
      </c>
      <c r="C20" s="150">
        <v>4589.1000000000004</v>
      </c>
      <c r="D20" s="150">
        <v>4589.1000000000004</v>
      </c>
      <c r="E20" s="150">
        <v>4589.1000000000004</v>
      </c>
    </row>
    <row r="21" spans="1:17" ht="18.75" x14ac:dyDescent="0.25">
      <c r="A21" s="121">
        <v>15</v>
      </c>
      <c r="B21" s="155" t="s">
        <v>21</v>
      </c>
      <c r="C21" s="150">
        <v>16423.5</v>
      </c>
      <c r="D21" s="150">
        <v>16423.5</v>
      </c>
      <c r="E21" s="150">
        <v>16423.5</v>
      </c>
    </row>
    <row r="22" spans="1:17" ht="18.75" x14ac:dyDescent="0.25">
      <c r="A22" s="121">
        <v>16</v>
      </c>
      <c r="B22" s="155" t="s">
        <v>22</v>
      </c>
      <c r="C22" s="150">
        <v>7852.7</v>
      </c>
      <c r="D22" s="150">
        <v>7852.7</v>
      </c>
      <c r="E22" s="150">
        <v>7852.7</v>
      </c>
    </row>
    <row r="23" spans="1:17" ht="18.75" x14ac:dyDescent="0.25">
      <c r="A23" s="121">
        <v>17</v>
      </c>
      <c r="B23" s="155" t="s">
        <v>23</v>
      </c>
      <c r="C23" s="150">
        <v>5075.1000000000004</v>
      </c>
      <c r="D23" s="150">
        <v>5075.1000000000004</v>
      </c>
      <c r="E23" s="150">
        <v>5075.1000000000004</v>
      </c>
    </row>
    <row r="24" spans="1:17" ht="18.75" x14ac:dyDescent="0.25">
      <c r="A24" s="121">
        <v>18</v>
      </c>
      <c r="B24" s="155" t="s">
        <v>24</v>
      </c>
      <c r="C24" s="150">
        <v>13950.9</v>
      </c>
      <c r="D24" s="150">
        <v>13950.9</v>
      </c>
      <c r="E24" s="150">
        <v>13950.9</v>
      </c>
    </row>
    <row r="25" spans="1:17" ht="18.75" x14ac:dyDescent="0.25">
      <c r="A25" s="121">
        <v>19</v>
      </c>
      <c r="B25" s="155" t="s">
        <v>25</v>
      </c>
      <c r="C25" s="150">
        <v>29168.7</v>
      </c>
      <c r="D25" s="150">
        <v>29168.7</v>
      </c>
      <c r="E25" s="150">
        <v>29168.7</v>
      </c>
    </row>
    <row r="26" spans="1:17" ht="18.75" x14ac:dyDescent="0.25">
      <c r="A26" s="121">
        <v>20</v>
      </c>
      <c r="B26" s="155" t="s">
        <v>26</v>
      </c>
      <c r="C26" s="150">
        <v>3950.8</v>
      </c>
      <c r="D26" s="150">
        <v>3950.8</v>
      </c>
      <c r="E26" s="150">
        <v>3950.8</v>
      </c>
    </row>
    <row r="27" spans="1:17" ht="18.75" x14ac:dyDescent="0.25">
      <c r="A27" s="121">
        <v>21</v>
      </c>
      <c r="B27" s="155" t="s">
        <v>27</v>
      </c>
      <c r="C27" s="150">
        <v>14904.3</v>
      </c>
      <c r="D27" s="150">
        <v>14904.3</v>
      </c>
      <c r="E27" s="150">
        <v>14904.3</v>
      </c>
    </row>
    <row r="28" spans="1:17" ht="18.75" x14ac:dyDescent="0.25">
      <c r="A28" s="121">
        <v>22</v>
      </c>
      <c r="B28" s="155" t="s">
        <v>28</v>
      </c>
      <c r="C28" s="150">
        <v>5816.3</v>
      </c>
      <c r="D28" s="150">
        <v>5816.3</v>
      </c>
      <c r="E28" s="150">
        <v>5816.3</v>
      </c>
    </row>
    <row r="29" spans="1:17" ht="18.75" x14ac:dyDescent="0.25">
      <c r="A29" s="121">
        <v>23</v>
      </c>
      <c r="B29" s="155" t="s">
        <v>29</v>
      </c>
      <c r="C29" s="150">
        <v>16937.3</v>
      </c>
      <c r="D29" s="150">
        <v>16937.3</v>
      </c>
      <c r="E29" s="150">
        <v>16937.3</v>
      </c>
    </row>
    <row r="30" spans="1:17" ht="18.75" x14ac:dyDescent="0.25">
      <c r="A30" s="121">
        <v>24</v>
      </c>
      <c r="B30" s="155" t="s">
        <v>30</v>
      </c>
      <c r="C30" s="150">
        <v>28631.4</v>
      </c>
      <c r="D30" s="150">
        <v>28631.4</v>
      </c>
      <c r="E30" s="150">
        <v>28631.4</v>
      </c>
    </row>
    <row r="31" spans="1:17" ht="18.75" x14ac:dyDescent="0.25">
      <c r="A31" s="121">
        <v>25</v>
      </c>
      <c r="B31" s="155" t="s">
        <v>31</v>
      </c>
      <c r="C31" s="150">
        <v>16661</v>
      </c>
      <c r="D31" s="150">
        <v>16661</v>
      </c>
      <c r="E31" s="150">
        <v>16661</v>
      </c>
    </row>
    <row r="32" spans="1:17" ht="18.75" x14ac:dyDescent="0.25">
      <c r="A32" s="121">
        <v>26</v>
      </c>
      <c r="B32" s="155" t="s">
        <v>32</v>
      </c>
      <c r="C32" s="150">
        <v>10653</v>
      </c>
      <c r="D32" s="150">
        <v>10653</v>
      </c>
      <c r="E32" s="150">
        <v>10653</v>
      </c>
    </row>
    <row r="33" spans="1:5" ht="18.75" x14ac:dyDescent="0.25">
      <c r="A33" s="121">
        <v>27</v>
      </c>
      <c r="B33" s="155" t="s">
        <v>33</v>
      </c>
      <c r="C33" s="150">
        <v>18521.5</v>
      </c>
      <c r="D33" s="150">
        <v>18521.5</v>
      </c>
      <c r="E33" s="150">
        <v>18521.5</v>
      </c>
    </row>
    <row r="34" spans="1:5" ht="18.75" x14ac:dyDescent="0.25">
      <c r="A34" s="121">
        <v>28</v>
      </c>
      <c r="B34" s="155" t="s">
        <v>34</v>
      </c>
      <c r="C34" s="150">
        <v>29498.3</v>
      </c>
      <c r="D34" s="150">
        <v>29498.3</v>
      </c>
      <c r="E34" s="150">
        <v>29498.3</v>
      </c>
    </row>
    <row r="35" spans="1:5" ht="18.75" x14ac:dyDescent="0.25">
      <c r="A35" s="121">
        <v>29</v>
      </c>
      <c r="B35" s="155" t="s">
        <v>35</v>
      </c>
      <c r="C35" s="150">
        <v>7244.7</v>
      </c>
      <c r="D35" s="150">
        <v>7244.7</v>
      </c>
      <c r="E35" s="150">
        <v>7244.7</v>
      </c>
    </row>
    <row r="36" spans="1:5" ht="18.75" x14ac:dyDescent="0.25">
      <c r="A36" s="121">
        <v>30</v>
      </c>
      <c r="B36" s="155" t="s">
        <v>36</v>
      </c>
      <c r="C36" s="150">
        <v>15950.9</v>
      </c>
      <c r="D36" s="150">
        <v>15950.9</v>
      </c>
      <c r="E36" s="150">
        <v>15950.9</v>
      </c>
    </row>
    <row r="37" spans="1:5" ht="18.75" x14ac:dyDescent="0.25">
      <c r="A37" s="121">
        <v>31</v>
      </c>
      <c r="B37" s="155" t="s">
        <v>37</v>
      </c>
      <c r="C37" s="150">
        <v>8063.2</v>
      </c>
      <c r="D37" s="150">
        <v>8063.2</v>
      </c>
      <c r="E37" s="150">
        <v>8063.2</v>
      </c>
    </row>
    <row r="38" spans="1:5" ht="18.75" x14ac:dyDescent="0.25">
      <c r="A38" s="121">
        <v>32</v>
      </c>
      <c r="B38" s="155" t="s">
        <v>38</v>
      </c>
      <c r="C38" s="150">
        <v>5402.2</v>
      </c>
      <c r="D38" s="150">
        <v>5402.2</v>
      </c>
      <c r="E38" s="150">
        <v>5402.2</v>
      </c>
    </row>
    <row r="39" spans="1:5" ht="18.75" x14ac:dyDescent="0.25">
      <c r="A39" s="121">
        <v>33</v>
      </c>
      <c r="B39" s="155" t="s">
        <v>39</v>
      </c>
      <c r="C39" s="150">
        <v>8405.9</v>
      </c>
      <c r="D39" s="150">
        <v>8405.9</v>
      </c>
      <c r="E39" s="150">
        <v>8405.9</v>
      </c>
    </row>
    <row r="40" spans="1:5" ht="18.75" x14ac:dyDescent="0.25">
      <c r="A40" s="121">
        <v>34</v>
      </c>
      <c r="B40" s="155" t="s">
        <v>40</v>
      </c>
      <c r="C40" s="150">
        <v>11886.5</v>
      </c>
      <c r="D40" s="150">
        <v>11886.5</v>
      </c>
      <c r="E40" s="150">
        <v>11886.5</v>
      </c>
    </row>
    <row r="41" spans="1:5" ht="18.75" x14ac:dyDescent="0.25">
      <c r="A41" s="121">
        <v>35</v>
      </c>
      <c r="B41" s="155" t="s">
        <v>41</v>
      </c>
      <c r="C41" s="150">
        <v>7732.1</v>
      </c>
      <c r="D41" s="150">
        <v>7732.1</v>
      </c>
      <c r="E41" s="150">
        <v>7732.1</v>
      </c>
    </row>
    <row r="42" spans="1:5" ht="18.75" x14ac:dyDescent="0.25">
      <c r="A42" s="121">
        <v>36</v>
      </c>
      <c r="B42" s="155" t="s">
        <v>42</v>
      </c>
      <c r="C42" s="150">
        <v>7965.3</v>
      </c>
      <c r="D42" s="150">
        <v>7965.3</v>
      </c>
      <c r="E42" s="150">
        <v>7965.3</v>
      </c>
    </row>
    <row r="43" spans="1:5" ht="18.75" x14ac:dyDescent="0.25">
      <c r="A43" s="121">
        <v>37</v>
      </c>
      <c r="B43" s="155" t="s">
        <v>43</v>
      </c>
      <c r="C43" s="150">
        <v>16998.099999999999</v>
      </c>
      <c r="D43" s="150">
        <v>16998.099999999999</v>
      </c>
      <c r="E43" s="150">
        <v>16998.099999999999</v>
      </c>
    </row>
    <row r="44" spans="1:5" ht="18.75" x14ac:dyDescent="0.25">
      <c r="A44" s="121">
        <v>38</v>
      </c>
      <c r="B44" s="155" t="s">
        <v>44</v>
      </c>
      <c r="C44" s="150">
        <v>18424.7</v>
      </c>
      <c r="D44" s="150">
        <v>18424.7</v>
      </c>
      <c r="E44" s="150">
        <v>18424.7</v>
      </c>
    </row>
    <row r="45" spans="1:5" ht="18.75" x14ac:dyDescent="0.25">
      <c r="A45" s="121">
        <v>39</v>
      </c>
      <c r="B45" s="155" t="s">
        <v>45</v>
      </c>
      <c r="C45" s="150">
        <v>14226.8</v>
      </c>
      <c r="D45" s="150">
        <v>14226.8</v>
      </c>
      <c r="E45" s="150">
        <v>14226.8</v>
      </c>
    </row>
    <row r="46" spans="1:5" ht="18.75" x14ac:dyDescent="0.25">
      <c r="A46" s="121">
        <v>40</v>
      </c>
      <c r="B46" s="155" t="s">
        <v>46</v>
      </c>
      <c r="C46" s="150">
        <v>11293.7</v>
      </c>
      <c r="D46" s="150">
        <v>11293.7</v>
      </c>
      <c r="E46" s="150">
        <v>11293.7</v>
      </c>
    </row>
    <row r="47" spans="1:5" ht="18.75" x14ac:dyDescent="0.3">
      <c r="A47" s="121">
        <v>41</v>
      </c>
      <c r="B47" s="151" t="s">
        <v>47</v>
      </c>
      <c r="C47" s="150">
        <v>3156.7</v>
      </c>
      <c r="D47" s="150">
        <v>3156.7</v>
      </c>
      <c r="E47" s="150">
        <v>3156.7</v>
      </c>
    </row>
    <row r="48" spans="1:5" ht="18.75" x14ac:dyDescent="0.3">
      <c r="A48" s="121">
        <v>42</v>
      </c>
      <c r="B48" s="151" t="s">
        <v>48</v>
      </c>
      <c r="C48" s="150">
        <v>1221.2</v>
      </c>
      <c r="D48" s="150">
        <v>1221.2</v>
      </c>
      <c r="E48" s="150">
        <v>1221.2</v>
      </c>
    </row>
    <row r="49" spans="1:5" ht="18.75" x14ac:dyDescent="0.3">
      <c r="A49" s="152"/>
      <c r="B49" s="153" t="s">
        <v>49</v>
      </c>
      <c r="C49" s="154">
        <f>SUM(C7:C48)</f>
        <v>599374.99999999988</v>
      </c>
      <c r="D49" s="154">
        <f>SUM(D7:D48)</f>
        <v>599374.99999999988</v>
      </c>
      <c r="E49" s="154">
        <f>SUM(E7:E48)</f>
        <v>599374.99999999988</v>
      </c>
    </row>
  </sheetData>
  <autoFilter ref="A6" xr:uid="{00000000-0009-0000-0000-000013000000}"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3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17"/>
  <sheetViews>
    <sheetView view="pageBreakPreview" zoomScaleNormal="100" zoomScaleSheetLayoutView="100" workbookViewId="0">
      <selection activeCell="J6" sqref="J6"/>
    </sheetView>
  </sheetViews>
  <sheetFormatPr defaultColWidth="9.140625" defaultRowHeight="18.75" x14ac:dyDescent="0.25"/>
  <cols>
    <col min="1" max="1" width="5.5703125" style="2" bestFit="1" customWidth="1"/>
    <col min="2" max="2" width="41.7109375" style="2" customWidth="1"/>
    <col min="3" max="3" width="16.42578125" style="9" customWidth="1"/>
    <col min="4" max="4" width="15.140625" style="9" customWidth="1"/>
    <col min="5" max="5" width="16.570312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492" t="s">
        <v>390</v>
      </c>
      <c r="B1" s="492"/>
      <c r="C1" s="492"/>
      <c r="D1" s="492"/>
      <c r="E1" s="492"/>
    </row>
    <row r="2" spans="1:5" ht="90" customHeight="1" x14ac:dyDescent="0.25">
      <c r="A2" s="451" t="s">
        <v>481</v>
      </c>
      <c r="B2" s="451"/>
      <c r="C2" s="451"/>
      <c r="D2" s="451"/>
      <c r="E2" s="451"/>
    </row>
    <row r="3" spans="1:5" ht="18.75" customHeight="1" x14ac:dyDescent="0.25">
      <c r="A3" s="452" t="s">
        <v>62</v>
      </c>
      <c r="B3" s="453" t="s">
        <v>63</v>
      </c>
      <c r="C3" s="453" t="s">
        <v>2</v>
      </c>
      <c r="D3" s="453"/>
      <c r="E3" s="453"/>
    </row>
    <row r="4" spans="1:5" ht="18.75" customHeight="1" x14ac:dyDescent="0.25">
      <c r="A4" s="452"/>
      <c r="B4" s="453"/>
      <c r="C4" s="453" t="s">
        <v>3</v>
      </c>
      <c r="D4" s="453" t="s">
        <v>4</v>
      </c>
      <c r="E4" s="453"/>
    </row>
    <row r="5" spans="1:5" x14ac:dyDescent="0.25">
      <c r="A5" s="452"/>
      <c r="B5" s="453"/>
      <c r="C5" s="453"/>
      <c r="D5" s="112" t="s">
        <v>5</v>
      </c>
      <c r="E5" s="112" t="s">
        <v>64</v>
      </c>
    </row>
    <row r="6" spans="1:5" x14ac:dyDescent="0.25">
      <c r="A6" s="6">
        <v>1</v>
      </c>
      <c r="B6" s="7">
        <v>2</v>
      </c>
      <c r="C6" s="8">
        <v>3</v>
      </c>
      <c r="D6" s="112">
        <v>4</v>
      </c>
      <c r="E6" s="112">
        <v>5</v>
      </c>
    </row>
    <row r="7" spans="1:5" ht="37.5" x14ac:dyDescent="0.25">
      <c r="A7" s="10">
        <v>1</v>
      </c>
      <c r="B7" s="11" t="s">
        <v>11</v>
      </c>
      <c r="C7" s="27">
        <v>0</v>
      </c>
      <c r="D7" s="28">
        <v>5081.1000000000004</v>
      </c>
      <c r="E7" s="28">
        <v>0</v>
      </c>
    </row>
    <row r="8" spans="1:5" x14ac:dyDescent="0.25">
      <c r="A8" s="10">
        <v>2</v>
      </c>
      <c r="B8" s="11" t="s">
        <v>14</v>
      </c>
      <c r="C8" s="27">
        <v>0</v>
      </c>
      <c r="D8" s="28">
        <v>0</v>
      </c>
      <c r="E8" s="29">
        <v>1985.5</v>
      </c>
    </row>
    <row r="9" spans="1:5" x14ac:dyDescent="0.25">
      <c r="A9" s="10">
        <v>3</v>
      </c>
      <c r="B9" s="11" t="s">
        <v>15</v>
      </c>
      <c r="C9" s="27">
        <v>6093.8</v>
      </c>
      <c r="D9" s="28">
        <v>0</v>
      </c>
      <c r="E9" s="28">
        <v>0</v>
      </c>
    </row>
    <row r="10" spans="1:5" x14ac:dyDescent="0.25">
      <c r="A10" s="10">
        <v>4</v>
      </c>
      <c r="B10" s="11" t="s">
        <v>25</v>
      </c>
      <c r="C10" s="27">
        <v>2346.1</v>
      </c>
      <c r="D10" s="28">
        <v>0</v>
      </c>
      <c r="E10" s="28">
        <v>0</v>
      </c>
    </row>
    <row r="11" spans="1:5" x14ac:dyDescent="0.25">
      <c r="A11" s="10">
        <v>5</v>
      </c>
      <c r="B11" s="11" t="s">
        <v>27</v>
      </c>
      <c r="C11" s="27">
        <v>0</v>
      </c>
      <c r="D11" s="28">
        <v>3216.9</v>
      </c>
      <c r="E11" s="28">
        <v>0</v>
      </c>
    </row>
    <row r="12" spans="1:5" x14ac:dyDescent="0.25">
      <c r="A12" s="10">
        <v>6</v>
      </c>
      <c r="B12" s="11" t="s">
        <v>30</v>
      </c>
      <c r="C12" s="27">
        <v>0</v>
      </c>
      <c r="D12" s="28">
        <v>0</v>
      </c>
      <c r="E12" s="28">
        <v>3926</v>
      </c>
    </row>
    <row r="13" spans="1:5" x14ac:dyDescent="0.25">
      <c r="A13" s="10">
        <v>7</v>
      </c>
      <c r="B13" s="11" t="s">
        <v>31</v>
      </c>
      <c r="C13" s="27">
        <v>0</v>
      </c>
      <c r="D13" s="28">
        <v>1339.2</v>
      </c>
      <c r="E13" s="28">
        <v>0</v>
      </c>
    </row>
    <row r="14" spans="1:5" x14ac:dyDescent="0.25">
      <c r="A14" s="10">
        <v>8</v>
      </c>
      <c r="B14" s="11" t="s">
        <v>33</v>
      </c>
      <c r="C14" s="27">
        <v>0</v>
      </c>
      <c r="D14" s="28">
        <v>0</v>
      </c>
      <c r="E14" s="28">
        <v>9064</v>
      </c>
    </row>
    <row r="15" spans="1:5" x14ac:dyDescent="0.25">
      <c r="A15" s="10">
        <v>9</v>
      </c>
      <c r="B15" s="11" t="s">
        <v>40</v>
      </c>
      <c r="C15" s="27">
        <v>2078.6</v>
      </c>
      <c r="D15" s="28">
        <v>0</v>
      </c>
      <c r="E15" s="29">
        <v>0</v>
      </c>
    </row>
    <row r="16" spans="1:5" x14ac:dyDescent="0.25">
      <c r="A16" s="12"/>
      <c r="B16" s="13" t="s">
        <v>49</v>
      </c>
      <c r="C16" s="30">
        <f>SUM(C7:C15)</f>
        <v>10518.5</v>
      </c>
      <c r="D16" s="157">
        <f>SUM(D7:D15)</f>
        <v>9637.2000000000007</v>
      </c>
      <c r="E16" s="157">
        <f>SUM(E7:E15)</f>
        <v>14975.5</v>
      </c>
    </row>
    <row r="17" spans="1:5" ht="108.75" customHeight="1" x14ac:dyDescent="0.25">
      <c r="A17" s="448"/>
      <c r="B17" s="449"/>
      <c r="C17" s="449"/>
      <c r="D17" s="449"/>
      <c r="E17" s="449"/>
    </row>
  </sheetData>
  <mergeCells count="8">
    <mergeCell ref="A17:E17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97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19"/>
  <sheetViews>
    <sheetView view="pageBreakPreview" zoomScaleNormal="100" zoomScaleSheetLayoutView="100" workbookViewId="0">
      <selection activeCell="E19" sqref="E19"/>
    </sheetView>
  </sheetViews>
  <sheetFormatPr defaultRowHeight="18.75" x14ac:dyDescent="0.25"/>
  <cols>
    <col min="1" max="1" width="4.7109375" style="159" customWidth="1"/>
    <col min="2" max="2" width="57.7109375" style="159" customWidth="1"/>
    <col min="3" max="3" width="12.140625" style="168" bestFit="1" customWidth="1"/>
    <col min="4" max="4" width="11.140625" style="168" bestFit="1" customWidth="1"/>
    <col min="5" max="5" width="9.85546875" style="159" bestFit="1" customWidth="1"/>
    <col min="6" max="256" width="9.140625" style="159"/>
    <col min="257" max="257" width="4.7109375" style="159" customWidth="1"/>
    <col min="258" max="258" width="63" style="159" customWidth="1"/>
    <col min="259" max="259" width="12" style="159" bestFit="1" customWidth="1"/>
    <col min="260" max="261" width="9.7109375" style="159" bestFit="1" customWidth="1"/>
    <col min="262" max="512" width="9.140625" style="159"/>
    <col min="513" max="513" width="4.7109375" style="159" customWidth="1"/>
    <col min="514" max="514" width="63" style="159" customWidth="1"/>
    <col min="515" max="515" width="12" style="159" bestFit="1" customWidth="1"/>
    <col min="516" max="517" width="9.7109375" style="159" bestFit="1" customWidth="1"/>
    <col min="518" max="768" width="9.140625" style="159"/>
    <col min="769" max="769" width="4.7109375" style="159" customWidth="1"/>
    <col min="770" max="770" width="63" style="159" customWidth="1"/>
    <col min="771" max="771" width="12" style="159" bestFit="1" customWidth="1"/>
    <col min="772" max="773" width="9.7109375" style="159" bestFit="1" customWidth="1"/>
    <col min="774" max="1024" width="9.140625" style="159"/>
    <col min="1025" max="1025" width="4.7109375" style="159" customWidth="1"/>
    <col min="1026" max="1026" width="63" style="159" customWidth="1"/>
    <col min="1027" max="1027" width="12" style="159" bestFit="1" customWidth="1"/>
    <col min="1028" max="1029" width="9.7109375" style="159" bestFit="1" customWidth="1"/>
    <col min="1030" max="1280" width="9.140625" style="159"/>
    <col min="1281" max="1281" width="4.7109375" style="159" customWidth="1"/>
    <col min="1282" max="1282" width="63" style="159" customWidth="1"/>
    <col min="1283" max="1283" width="12" style="159" bestFit="1" customWidth="1"/>
    <col min="1284" max="1285" width="9.7109375" style="159" bestFit="1" customWidth="1"/>
    <col min="1286" max="1536" width="9.140625" style="159"/>
    <col min="1537" max="1537" width="4.7109375" style="159" customWidth="1"/>
    <col min="1538" max="1538" width="63" style="159" customWidth="1"/>
    <col min="1539" max="1539" width="12" style="159" bestFit="1" customWidth="1"/>
    <col min="1540" max="1541" width="9.7109375" style="159" bestFit="1" customWidth="1"/>
    <col min="1542" max="1792" width="9.140625" style="159"/>
    <col min="1793" max="1793" width="4.7109375" style="159" customWidth="1"/>
    <col min="1794" max="1794" width="63" style="159" customWidth="1"/>
    <col min="1795" max="1795" width="12" style="159" bestFit="1" customWidth="1"/>
    <col min="1796" max="1797" width="9.7109375" style="159" bestFit="1" customWidth="1"/>
    <col min="1798" max="2048" width="9.140625" style="159"/>
    <col min="2049" max="2049" width="4.7109375" style="159" customWidth="1"/>
    <col min="2050" max="2050" width="63" style="159" customWidth="1"/>
    <col min="2051" max="2051" width="12" style="159" bestFit="1" customWidth="1"/>
    <col min="2052" max="2053" width="9.7109375" style="159" bestFit="1" customWidth="1"/>
    <col min="2054" max="2304" width="9.140625" style="159"/>
    <col min="2305" max="2305" width="4.7109375" style="159" customWidth="1"/>
    <col min="2306" max="2306" width="63" style="159" customWidth="1"/>
    <col min="2307" max="2307" width="12" style="159" bestFit="1" customWidth="1"/>
    <col min="2308" max="2309" width="9.7109375" style="159" bestFit="1" customWidth="1"/>
    <col min="2310" max="2560" width="9.140625" style="159"/>
    <col min="2561" max="2561" width="4.7109375" style="159" customWidth="1"/>
    <col min="2562" max="2562" width="63" style="159" customWidth="1"/>
    <col min="2563" max="2563" width="12" style="159" bestFit="1" customWidth="1"/>
    <col min="2564" max="2565" width="9.7109375" style="159" bestFit="1" customWidth="1"/>
    <col min="2566" max="2816" width="9.140625" style="159"/>
    <col min="2817" max="2817" width="4.7109375" style="159" customWidth="1"/>
    <col min="2818" max="2818" width="63" style="159" customWidth="1"/>
    <col min="2819" max="2819" width="12" style="159" bestFit="1" customWidth="1"/>
    <col min="2820" max="2821" width="9.7109375" style="159" bestFit="1" customWidth="1"/>
    <col min="2822" max="3072" width="9.140625" style="159"/>
    <col min="3073" max="3073" width="4.7109375" style="159" customWidth="1"/>
    <col min="3074" max="3074" width="63" style="159" customWidth="1"/>
    <col min="3075" max="3075" width="12" style="159" bestFit="1" customWidth="1"/>
    <col min="3076" max="3077" width="9.7109375" style="159" bestFit="1" customWidth="1"/>
    <col min="3078" max="3328" width="9.140625" style="159"/>
    <col min="3329" max="3329" width="4.7109375" style="159" customWidth="1"/>
    <col min="3330" max="3330" width="63" style="159" customWidth="1"/>
    <col min="3331" max="3331" width="12" style="159" bestFit="1" customWidth="1"/>
    <col min="3332" max="3333" width="9.7109375" style="159" bestFit="1" customWidth="1"/>
    <col min="3334" max="3584" width="9.140625" style="159"/>
    <col min="3585" max="3585" width="4.7109375" style="159" customWidth="1"/>
    <col min="3586" max="3586" width="63" style="159" customWidth="1"/>
    <col min="3587" max="3587" width="12" style="159" bestFit="1" customWidth="1"/>
    <col min="3588" max="3589" width="9.7109375" style="159" bestFit="1" customWidth="1"/>
    <col min="3590" max="3840" width="9.140625" style="159"/>
    <col min="3841" max="3841" width="4.7109375" style="159" customWidth="1"/>
    <col min="3842" max="3842" width="63" style="159" customWidth="1"/>
    <col min="3843" max="3843" width="12" style="159" bestFit="1" customWidth="1"/>
    <col min="3844" max="3845" width="9.7109375" style="159" bestFit="1" customWidth="1"/>
    <col min="3846" max="4096" width="9.140625" style="159"/>
    <col min="4097" max="4097" width="4.7109375" style="159" customWidth="1"/>
    <col min="4098" max="4098" width="63" style="159" customWidth="1"/>
    <col min="4099" max="4099" width="12" style="159" bestFit="1" customWidth="1"/>
    <col min="4100" max="4101" width="9.7109375" style="159" bestFit="1" customWidth="1"/>
    <col min="4102" max="4352" width="9.140625" style="159"/>
    <col min="4353" max="4353" width="4.7109375" style="159" customWidth="1"/>
    <col min="4354" max="4354" width="63" style="159" customWidth="1"/>
    <col min="4355" max="4355" width="12" style="159" bestFit="1" customWidth="1"/>
    <col min="4356" max="4357" width="9.7109375" style="159" bestFit="1" customWidth="1"/>
    <col min="4358" max="4608" width="9.140625" style="159"/>
    <col min="4609" max="4609" width="4.7109375" style="159" customWidth="1"/>
    <col min="4610" max="4610" width="63" style="159" customWidth="1"/>
    <col min="4611" max="4611" width="12" style="159" bestFit="1" customWidth="1"/>
    <col min="4612" max="4613" width="9.7109375" style="159" bestFit="1" customWidth="1"/>
    <col min="4614" max="4864" width="9.140625" style="159"/>
    <col min="4865" max="4865" width="4.7109375" style="159" customWidth="1"/>
    <col min="4866" max="4866" width="63" style="159" customWidth="1"/>
    <col min="4867" max="4867" width="12" style="159" bestFit="1" customWidth="1"/>
    <col min="4868" max="4869" width="9.7109375" style="159" bestFit="1" customWidth="1"/>
    <col min="4870" max="5120" width="9.140625" style="159"/>
    <col min="5121" max="5121" width="4.7109375" style="159" customWidth="1"/>
    <col min="5122" max="5122" width="63" style="159" customWidth="1"/>
    <col min="5123" max="5123" width="12" style="159" bestFit="1" customWidth="1"/>
    <col min="5124" max="5125" width="9.7109375" style="159" bestFit="1" customWidth="1"/>
    <col min="5126" max="5376" width="9.140625" style="159"/>
    <col min="5377" max="5377" width="4.7109375" style="159" customWidth="1"/>
    <col min="5378" max="5378" width="63" style="159" customWidth="1"/>
    <col min="5379" max="5379" width="12" style="159" bestFit="1" customWidth="1"/>
    <col min="5380" max="5381" width="9.7109375" style="159" bestFit="1" customWidth="1"/>
    <col min="5382" max="5632" width="9.140625" style="159"/>
    <col min="5633" max="5633" width="4.7109375" style="159" customWidth="1"/>
    <col min="5634" max="5634" width="63" style="159" customWidth="1"/>
    <col min="5635" max="5635" width="12" style="159" bestFit="1" customWidth="1"/>
    <col min="5636" max="5637" width="9.7109375" style="159" bestFit="1" customWidth="1"/>
    <col min="5638" max="5888" width="9.140625" style="159"/>
    <col min="5889" max="5889" width="4.7109375" style="159" customWidth="1"/>
    <col min="5890" max="5890" width="63" style="159" customWidth="1"/>
    <col min="5891" max="5891" width="12" style="159" bestFit="1" customWidth="1"/>
    <col min="5892" max="5893" width="9.7109375" style="159" bestFit="1" customWidth="1"/>
    <col min="5894" max="6144" width="9.140625" style="159"/>
    <col min="6145" max="6145" width="4.7109375" style="159" customWidth="1"/>
    <col min="6146" max="6146" width="63" style="159" customWidth="1"/>
    <col min="6147" max="6147" width="12" style="159" bestFit="1" customWidth="1"/>
    <col min="6148" max="6149" width="9.7109375" style="159" bestFit="1" customWidth="1"/>
    <col min="6150" max="6400" width="9.140625" style="159"/>
    <col min="6401" max="6401" width="4.7109375" style="159" customWidth="1"/>
    <col min="6402" max="6402" width="63" style="159" customWidth="1"/>
    <col min="6403" max="6403" width="12" style="159" bestFit="1" customWidth="1"/>
    <col min="6404" max="6405" width="9.7109375" style="159" bestFit="1" customWidth="1"/>
    <col min="6406" max="6656" width="9.140625" style="159"/>
    <col min="6657" max="6657" width="4.7109375" style="159" customWidth="1"/>
    <col min="6658" max="6658" width="63" style="159" customWidth="1"/>
    <col min="6659" max="6659" width="12" style="159" bestFit="1" customWidth="1"/>
    <col min="6660" max="6661" width="9.7109375" style="159" bestFit="1" customWidth="1"/>
    <col min="6662" max="6912" width="9.140625" style="159"/>
    <col min="6913" max="6913" width="4.7109375" style="159" customWidth="1"/>
    <col min="6914" max="6914" width="63" style="159" customWidth="1"/>
    <col min="6915" max="6915" width="12" style="159" bestFit="1" customWidth="1"/>
    <col min="6916" max="6917" width="9.7109375" style="159" bestFit="1" customWidth="1"/>
    <col min="6918" max="7168" width="9.140625" style="159"/>
    <col min="7169" max="7169" width="4.7109375" style="159" customWidth="1"/>
    <col min="7170" max="7170" width="63" style="159" customWidth="1"/>
    <col min="7171" max="7171" width="12" style="159" bestFit="1" customWidth="1"/>
    <col min="7172" max="7173" width="9.7109375" style="159" bestFit="1" customWidth="1"/>
    <col min="7174" max="7424" width="9.140625" style="159"/>
    <col min="7425" max="7425" width="4.7109375" style="159" customWidth="1"/>
    <col min="7426" max="7426" width="63" style="159" customWidth="1"/>
    <col min="7427" max="7427" width="12" style="159" bestFit="1" customWidth="1"/>
    <col min="7428" max="7429" width="9.7109375" style="159" bestFit="1" customWidth="1"/>
    <col min="7430" max="7680" width="9.140625" style="159"/>
    <col min="7681" max="7681" width="4.7109375" style="159" customWidth="1"/>
    <col min="7682" max="7682" width="63" style="159" customWidth="1"/>
    <col min="7683" max="7683" width="12" style="159" bestFit="1" customWidth="1"/>
    <col min="7684" max="7685" width="9.7109375" style="159" bestFit="1" customWidth="1"/>
    <col min="7686" max="7936" width="9.140625" style="159"/>
    <col min="7937" max="7937" width="4.7109375" style="159" customWidth="1"/>
    <col min="7938" max="7938" width="63" style="159" customWidth="1"/>
    <col min="7939" max="7939" width="12" style="159" bestFit="1" customWidth="1"/>
    <col min="7940" max="7941" width="9.7109375" style="159" bestFit="1" customWidth="1"/>
    <col min="7942" max="8192" width="9.140625" style="159"/>
    <col min="8193" max="8193" width="4.7109375" style="159" customWidth="1"/>
    <col min="8194" max="8194" width="63" style="159" customWidth="1"/>
    <col min="8195" max="8195" width="12" style="159" bestFit="1" customWidth="1"/>
    <col min="8196" max="8197" width="9.7109375" style="159" bestFit="1" customWidth="1"/>
    <col min="8198" max="8448" width="9.140625" style="159"/>
    <col min="8449" max="8449" width="4.7109375" style="159" customWidth="1"/>
    <col min="8450" max="8450" width="63" style="159" customWidth="1"/>
    <col min="8451" max="8451" width="12" style="159" bestFit="1" customWidth="1"/>
    <col min="8452" max="8453" width="9.7109375" style="159" bestFit="1" customWidth="1"/>
    <col min="8454" max="8704" width="9.140625" style="159"/>
    <col min="8705" max="8705" width="4.7109375" style="159" customWidth="1"/>
    <col min="8706" max="8706" width="63" style="159" customWidth="1"/>
    <col min="8707" max="8707" width="12" style="159" bestFit="1" customWidth="1"/>
    <col min="8708" max="8709" width="9.7109375" style="159" bestFit="1" customWidth="1"/>
    <col min="8710" max="8960" width="9.140625" style="159"/>
    <col min="8961" max="8961" width="4.7109375" style="159" customWidth="1"/>
    <col min="8962" max="8962" width="63" style="159" customWidth="1"/>
    <col min="8963" max="8963" width="12" style="159" bestFit="1" customWidth="1"/>
    <col min="8964" max="8965" width="9.7109375" style="159" bestFit="1" customWidth="1"/>
    <col min="8966" max="9216" width="9.140625" style="159"/>
    <col min="9217" max="9217" width="4.7109375" style="159" customWidth="1"/>
    <col min="9218" max="9218" width="63" style="159" customWidth="1"/>
    <col min="9219" max="9219" width="12" style="159" bestFit="1" customWidth="1"/>
    <col min="9220" max="9221" width="9.7109375" style="159" bestFit="1" customWidth="1"/>
    <col min="9222" max="9472" width="9.140625" style="159"/>
    <col min="9473" max="9473" width="4.7109375" style="159" customWidth="1"/>
    <col min="9474" max="9474" width="63" style="159" customWidth="1"/>
    <col min="9475" max="9475" width="12" style="159" bestFit="1" customWidth="1"/>
    <col min="9476" max="9477" width="9.7109375" style="159" bestFit="1" customWidth="1"/>
    <col min="9478" max="9728" width="9.140625" style="159"/>
    <col min="9729" max="9729" width="4.7109375" style="159" customWidth="1"/>
    <col min="9730" max="9730" width="63" style="159" customWidth="1"/>
    <col min="9731" max="9731" width="12" style="159" bestFit="1" customWidth="1"/>
    <col min="9732" max="9733" width="9.7109375" style="159" bestFit="1" customWidth="1"/>
    <col min="9734" max="9984" width="9.140625" style="159"/>
    <col min="9985" max="9985" width="4.7109375" style="159" customWidth="1"/>
    <col min="9986" max="9986" width="63" style="159" customWidth="1"/>
    <col min="9987" max="9987" width="12" style="159" bestFit="1" customWidth="1"/>
    <col min="9988" max="9989" width="9.7109375" style="159" bestFit="1" customWidth="1"/>
    <col min="9990" max="10240" width="9.140625" style="159"/>
    <col min="10241" max="10241" width="4.7109375" style="159" customWidth="1"/>
    <col min="10242" max="10242" width="63" style="159" customWidth="1"/>
    <col min="10243" max="10243" width="12" style="159" bestFit="1" customWidth="1"/>
    <col min="10244" max="10245" width="9.7109375" style="159" bestFit="1" customWidth="1"/>
    <col min="10246" max="10496" width="9.140625" style="159"/>
    <col min="10497" max="10497" width="4.7109375" style="159" customWidth="1"/>
    <col min="10498" max="10498" width="63" style="159" customWidth="1"/>
    <col min="10499" max="10499" width="12" style="159" bestFit="1" customWidth="1"/>
    <col min="10500" max="10501" width="9.7109375" style="159" bestFit="1" customWidth="1"/>
    <col min="10502" max="10752" width="9.140625" style="159"/>
    <col min="10753" max="10753" width="4.7109375" style="159" customWidth="1"/>
    <col min="10754" max="10754" width="63" style="159" customWidth="1"/>
    <col min="10755" max="10755" width="12" style="159" bestFit="1" customWidth="1"/>
    <col min="10756" max="10757" width="9.7109375" style="159" bestFit="1" customWidth="1"/>
    <col min="10758" max="11008" width="9.140625" style="159"/>
    <col min="11009" max="11009" width="4.7109375" style="159" customWidth="1"/>
    <col min="11010" max="11010" width="63" style="159" customWidth="1"/>
    <col min="11011" max="11011" width="12" style="159" bestFit="1" customWidth="1"/>
    <col min="11012" max="11013" width="9.7109375" style="159" bestFit="1" customWidth="1"/>
    <col min="11014" max="11264" width="9.140625" style="159"/>
    <col min="11265" max="11265" width="4.7109375" style="159" customWidth="1"/>
    <col min="11266" max="11266" width="63" style="159" customWidth="1"/>
    <col min="11267" max="11267" width="12" style="159" bestFit="1" customWidth="1"/>
    <col min="11268" max="11269" width="9.7109375" style="159" bestFit="1" customWidth="1"/>
    <col min="11270" max="11520" width="9.140625" style="159"/>
    <col min="11521" max="11521" width="4.7109375" style="159" customWidth="1"/>
    <col min="11522" max="11522" width="63" style="159" customWidth="1"/>
    <col min="11523" max="11523" width="12" style="159" bestFit="1" customWidth="1"/>
    <col min="11524" max="11525" width="9.7109375" style="159" bestFit="1" customWidth="1"/>
    <col min="11526" max="11776" width="9.140625" style="159"/>
    <col min="11777" max="11777" width="4.7109375" style="159" customWidth="1"/>
    <col min="11778" max="11778" width="63" style="159" customWidth="1"/>
    <col min="11779" max="11779" width="12" style="159" bestFit="1" customWidth="1"/>
    <col min="11780" max="11781" width="9.7109375" style="159" bestFit="1" customWidth="1"/>
    <col min="11782" max="12032" width="9.140625" style="159"/>
    <col min="12033" max="12033" width="4.7109375" style="159" customWidth="1"/>
    <col min="12034" max="12034" width="63" style="159" customWidth="1"/>
    <col min="12035" max="12035" width="12" style="159" bestFit="1" customWidth="1"/>
    <col min="12036" max="12037" width="9.7109375" style="159" bestFit="1" customWidth="1"/>
    <col min="12038" max="12288" width="9.140625" style="159"/>
    <col min="12289" max="12289" width="4.7109375" style="159" customWidth="1"/>
    <col min="12290" max="12290" width="63" style="159" customWidth="1"/>
    <col min="12291" max="12291" width="12" style="159" bestFit="1" customWidth="1"/>
    <col min="12292" max="12293" width="9.7109375" style="159" bestFit="1" customWidth="1"/>
    <col min="12294" max="12544" width="9.140625" style="159"/>
    <col min="12545" max="12545" width="4.7109375" style="159" customWidth="1"/>
    <col min="12546" max="12546" width="63" style="159" customWidth="1"/>
    <col min="12547" max="12547" width="12" style="159" bestFit="1" customWidth="1"/>
    <col min="12548" max="12549" width="9.7109375" style="159" bestFit="1" customWidth="1"/>
    <col min="12550" max="12800" width="9.140625" style="159"/>
    <col min="12801" max="12801" width="4.7109375" style="159" customWidth="1"/>
    <col min="12802" max="12802" width="63" style="159" customWidth="1"/>
    <col min="12803" max="12803" width="12" style="159" bestFit="1" customWidth="1"/>
    <col min="12804" max="12805" width="9.7109375" style="159" bestFit="1" customWidth="1"/>
    <col min="12806" max="13056" width="9.140625" style="159"/>
    <col min="13057" max="13057" width="4.7109375" style="159" customWidth="1"/>
    <col min="13058" max="13058" width="63" style="159" customWidth="1"/>
    <col min="13059" max="13059" width="12" style="159" bestFit="1" customWidth="1"/>
    <col min="13060" max="13061" width="9.7109375" style="159" bestFit="1" customWidth="1"/>
    <col min="13062" max="13312" width="9.140625" style="159"/>
    <col min="13313" max="13313" width="4.7109375" style="159" customWidth="1"/>
    <col min="13314" max="13314" width="63" style="159" customWidth="1"/>
    <col min="13315" max="13315" width="12" style="159" bestFit="1" customWidth="1"/>
    <col min="13316" max="13317" width="9.7109375" style="159" bestFit="1" customWidth="1"/>
    <col min="13318" max="13568" width="9.140625" style="159"/>
    <col min="13569" max="13569" width="4.7109375" style="159" customWidth="1"/>
    <col min="13570" max="13570" width="63" style="159" customWidth="1"/>
    <col min="13571" max="13571" width="12" style="159" bestFit="1" customWidth="1"/>
    <col min="13572" max="13573" width="9.7109375" style="159" bestFit="1" customWidth="1"/>
    <col min="13574" max="13824" width="9.140625" style="159"/>
    <col min="13825" max="13825" width="4.7109375" style="159" customWidth="1"/>
    <col min="13826" max="13826" width="63" style="159" customWidth="1"/>
    <col min="13827" max="13827" width="12" style="159" bestFit="1" customWidth="1"/>
    <col min="13828" max="13829" width="9.7109375" style="159" bestFit="1" customWidth="1"/>
    <col min="13830" max="14080" width="9.140625" style="159"/>
    <col min="14081" max="14081" width="4.7109375" style="159" customWidth="1"/>
    <col min="14082" max="14082" width="63" style="159" customWidth="1"/>
    <col min="14083" max="14083" width="12" style="159" bestFit="1" customWidth="1"/>
    <col min="14084" max="14085" width="9.7109375" style="159" bestFit="1" customWidth="1"/>
    <col min="14086" max="14336" width="9.140625" style="159"/>
    <col min="14337" max="14337" width="4.7109375" style="159" customWidth="1"/>
    <col min="14338" max="14338" width="63" style="159" customWidth="1"/>
    <col min="14339" max="14339" width="12" style="159" bestFit="1" customWidth="1"/>
    <col min="14340" max="14341" width="9.7109375" style="159" bestFit="1" customWidth="1"/>
    <col min="14342" max="14592" width="9.140625" style="159"/>
    <col min="14593" max="14593" width="4.7109375" style="159" customWidth="1"/>
    <col min="14594" max="14594" width="63" style="159" customWidth="1"/>
    <col min="14595" max="14595" width="12" style="159" bestFit="1" customWidth="1"/>
    <col min="14596" max="14597" width="9.7109375" style="159" bestFit="1" customWidth="1"/>
    <col min="14598" max="14848" width="9.140625" style="159"/>
    <col min="14849" max="14849" width="4.7109375" style="159" customWidth="1"/>
    <col min="14850" max="14850" width="63" style="159" customWidth="1"/>
    <col min="14851" max="14851" width="12" style="159" bestFit="1" customWidth="1"/>
    <col min="14852" max="14853" width="9.7109375" style="159" bestFit="1" customWidth="1"/>
    <col min="14854" max="15104" width="9.140625" style="159"/>
    <col min="15105" max="15105" width="4.7109375" style="159" customWidth="1"/>
    <col min="15106" max="15106" width="63" style="159" customWidth="1"/>
    <col min="15107" max="15107" width="12" style="159" bestFit="1" customWidth="1"/>
    <col min="15108" max="15109" width="9.7109375" style="159" bestFit="1" customWidth="1"/>
    <col min="15110" max="15360" width="9.140625" style="159"/>
    <col min="15361" max="15361" width="4.7109375" style="159" customWidth="1"/>
    <col min="15362" max="15362" width="63" style="159" customWidth="1"/>
    <col min="15363" max="15363" width="12" style="159" bestFit="1" customWidth="1"/>
    <col min="15364" max="15365" width="9.7109375" style="159" bestFit="1" customWidth="1"/>
    <col min="15366" max="15616" width="9.140625" style="159"/>
    <col min="15617" max="15617" width="4.7109375" style="159" customWidth="1"/>
    <col min="15618" max="15618" width="63" style="159" customWidth="1"/>
    <col min="15619" max="15619" width="12" style="159" bestFit="1" customWidth="1"/>
    <col min="15620" max="15621" width="9.7109375" style="159" bestFit="1" customWidth="1"/>
    <col min="15622" max="15872" width="9.140625" style="159"/>
    <col min="15873" max="15873" width="4.7109375" style="159" customWidth="1"/>
    <col min="15874" max="15874" width="63" style="159" customWidth="1"/>
    <col min="15875" max="15875" width="12" style="159" bestFit="1" customWidth="1"/>
    <col min="15876" max="15877" width="9.7109375" style="159" bestFit="1" customWidth="1"/>
    <col min="15878" max="16128" width="9.140625" style="159"/>
    <col min="16129" max="16129" width="4.7109375" style="159" customWidth="1"/>
    <col min="16130" max="16130" width="63" style="159" customWidth="1"/>
    <col min="16131" max="16131" width="12" style="159" bestFit="1" customWidth="1"/>
    <col min="16132" max="16133" width="9.7109375" style="159" bestFit="1" customWidth="1"/>
    <col min="16134" max="16384" width="9.140625" style="159"/>
  </cols>
  <sheetData>
    <row r="1" spans="1:5" ht="0.75" customHeight="1" x14ac:dyDescent="0.25">
      <c r="A1" s="514"/>
      <c r="B1" s="514"/>
      <c r="C1" s="514"/>
      <c r="D1" s="158"/>
    </row>
    <row r="2" spans="1:5" x14ac:dyDescent="0.25">
      <c r="A2" s="492" t="s">
        <v>453</v>
      </c>
      <c r="B2" s="492"/>
      <c r="C2" s="492"/>
      <c r="D2" s="492"/>
      <c r="E2" s="492"/>
    </row>
    <row r="3" spans="1:5" ht="123.75" customHeight="1" x14ac:dyDescent="0.25">
      <c r="A3" s="515" t="s">
        <v>448</v>
      </c>
      <c r="B3" s="515"/>
      <c r="C3" s="515"/>
      <c r="D3" s="515"/>
      <c r="E3" s="515"/>
    </row>
    <row r="4" spans="1:5" x14ac:dyDescent="0.25">
      <c r="A4" s="455" t="s">
        <v>51</v>
      </c>
      <c r="B4" s="455" t="s">
        <v>52</v>
      </c>
      <c r="C4" s="458" t="s">
        <v>2</v>
      </c>
      <c r="D4" s="516"/>
      <c r="E4" s="454"/>
    </row>
    <row r="5" spans="1:5" ht="15.75" customHeight="1" x14ac:dyDescent="0.25">
      <c r="A5" s="455"/>
      <c r="B5" s="455"/>
      <c r="C5" s="517" t="s">
        <v>3</v>
      </c>
      <c r="D5" s="458" t="s">
        <v>4</v>
      </c>
      <c r="E5" s="454"/>
    </row>
    <row r="6" spans="1:5" ht="37.5" x14ac:dyDescent="0.25">
      <c r="A6" s="455"/>
      <c r="B6" s="455"/>
      <c r="C6" s="518"/>
      <c r="D6" s="110" t="s">
        <v>5</v>
      </c>
      <c r="E6" s="110" t="s">
        <v>6</v>
      </c>
    </row>
    <row r="7" spans="1:5" ht="15" customHeight="1" x14ac:dyDescent="0.25">
      <c r="A7" s="160" t="s">
        <v>53</v>
      </c>
      <c r="B7" s="161" t="s">
        <v>54</v>
      </c>
      <c r="C7" s="160" t="s">
        <v>55</v>
      </c>
      <c r="D7" s="160">
        <v>4</v>
      </c>
      <c r="E7" s="160">
        <v>5</v>
      </c>
    </row>
    <row r="8" spans="1:5" ht="15" customHeight="1" x14ac:dyDescent="0.25">
      <c r="A8" s="162">
        <v>1</v>
      </c>
      <c r="B8" s="163" t="s">
        <v>36</v>
      </c>
      <c r="C8" s="164">
        <v>0</v>
      </c>
      <c r="D8" s="164">
        <v>1735.2</v>
      </c>
      <c r="E8" s="164">
        <v>0</v>
      </c>
    </row>
    <row r="9" spans="1:5" ht="15" customHeight="1" x14ac:dyDescent="0.25">
      <c r="A9" s="162"/>
      <c r="B9" s="165" t="s">
        <v>193</v>
      </c>
      <c r="C9" s="164">
        <v>0</v>
      </c>
      <c r="D9" s="164">
        <v>1735.2</v>
      </c>
      <c r="E9" s="164">
        <v>0</v>
      </c>
    </row>
    <row r="10" spans="1:5" ht="15" customHeight="1" x14ac:dyDescent="0.25">
      <c r="A10" s="166" t="s">
        <v>58</v>
      </c>
      <c r="B10" s="163" t="s">
        <v>49</v>
      </c>
      <c r="C10" s="167">
        <f>SUM(C8:C8)</f>
        <v>0</v>
      </c>
      <c r="D10" s="167">
        <f>SUM(D8:D8)</f>
        <v>1735.2</v>
      </c>
      <c r="E10" s="167">
        <f>SUM(E8:E8)</f>
        <v>0</v>
      </c>
    </row>
    <row r="19" spans="17:17" x14ac:dyDescent="0.25">
      <c r="Q19" s="216"/>
    </row>
  </sheetData>
  <mergeCells count="8">
    <mergeCell ref="A1:C1"/>
    <mergeCell ref="A2:E2"/>
    <mergeCell ref="A3:E3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97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Y54"/>
  <sheetViews>
    <sheetView view="pageBreakPreview" topLeftCell="A25" zoomScaleNormal="80" zoomScaleSheetLayoutView="100" workbookViewId="0">
      <selection activeCell="C57" sqref="C57"/>
    </sheetView>
  </sheetViews>
  <sheetFormatPr defaultColWidth="9.140625" defaultRowHeight="18.75" x14ac:dyDescent="0.3"/>
  <cols>
    <col min="1" max="1" width="6.140625" style="378" customWidth="1"/>
    <col min="2" max="2" width="49.28515625" style="378" customWidth="1"/>
    <col min="3" max="3" width="27.5703125" style="378" customWidth="1"/>
    <col min="4" max="4" width="25.5703125" style="378" customWidth="1"/>
    <col min="5" max="5" width="22.5703125" style="378" customWidth="1"/>
    <col min="6" max="6" width="21.140625" style="378" customWidth="1"/>
    <col min="7" max="7" width="25.42578125" style="378" customWidth="1"/>
    <col min="8" max="8" width="22.5703125" style="378" customWidth="1"/>
    <col min="9" max="9" width="19.85546875" style="378" customWidth="1"/>
    <col min="10" max="10" width="24.5703125" style="378" customWidth="1"/>
    <col min="11" max="11" width="22.7109375" style="378" customWidth="1"/>
    <col min="12" max="16384" width="9.140625" style="378"/>
  </cols>
  <sheetData>
    <row r="1" spans="1:11" x14ac:dyDescent="0.3">
      <c r="A1" s="519" t="s">
        <v>478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78.75" customHeight="1" x14ac:dyDescent="0.3">
      <c r="A2" s="451" t="s">
        <v>479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ht="18" customHeight="1" x14ac:dyDescent="0.3">
      <c r="A3" s="520" t="s">
        <v>467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s="384" customFormat="1" x14ac:dyDescent="0.3">
      <c r="A4" s="521" t="s">
        <v>62</v>
      </c>
      <c r="B4" s="521" t="s">
        <v>52</v>
      </c>
      <c r="C4" s="453" t="s">
        <v>3</v>
      </c>
      <c r="D4" s="453"/>
      <c r="E4" s="453"/>
      <c r="F4" s="525" t="s">
        <v>5</v>
      </c>
      <c r="G4" s="525"/>
      <c r="H4" s="525"/>
      <c r="I4" s="525" t="s">
        <v>6</v>
      </c>
      <c r="J4" s="525"/>
      <c r="K4" s="525"/>
    </row>
    <row r="5" spans="1:11" s="384" customFormat="1" ht="18.75" customHeight="1" x14ac:dyDescent="0.3">
      <c r="A5" s="522"/>
      <c r="B5" s="522"/>
      <c r="C5" s="526" t="s">
        <v>468</v>
      </c>
      <c r="D5" s="526" t="s">
        <v>396</v>
      </c>
      <c r="E5" s="526"/>
      <c r="F5" s="453" t="s">
        <v>468</v>
      </c>
      <c r="G5" s="453" t="s">
        <v>396</v>
      </c>
      <c r="H5" s="453"/>
      <c r="I5" s="453" t="s">
        <v>468</v>
      </c>
      <c r="J5" s="453" t="s">
        <v>396</v>
      </c>
      <c r="K5" s="453"/>
    </row>
    <row r="6" spans="1:11" s="384" customFormat="1" ht="104.25" customHeight="1" x14ac:dyDescent="0.3">
      <c r="A6" s="523"/>
      <c r="B6" s="524"/>
      <c r="C6" s="526"/>
      <c r="D6" s="394" t="s">
        <v>469</v>
      </c>
      <c r="E6" s="394" t="s">
        <v>470</v>
      </c>
      <c r="F6" s="453"/>
      <c r="G6" s="377" t="s">
        <v>471</v>
      </c>
      <c r="H6" s="377" t="s">
        <v>472</v>
      </c>
      <c r="I6" s="453"/>
      <c r="J6" s="377" t="s">
        <v>473</v>
      </c>
      <c r="K6" s="377" t="s">
        <v>472</v>
      </c>
    </row>
    <row r="7" spans="1:11" s="384" customFormat="1" ht="15.75" customHeight="1" x14ac:dyDescent="0.3">
      <c r="A7" s="382">
        <v>1</v>
      </c>
      <c r="B7" s="383">
        <v>2</v>
      </c>
      <c r="C7" s="382">
        <v>3</v>
      </c>
      <c r="D7" s="383">
        <v>4</v>
      </c>
      <c r="E7" s="382">
        <v>5</v>
      </c>
      <c r="F7" s="383">
        <v>6</v>
      </c>
      <c r="G7" s="382">
        <v>7</v>
      </c>
      <c r="H7" s="383">
        <v>8</v>
      </c>
      <c r="I7" s="382">
        <v>9</v>
      </c>
      <c r="J7" s="383">
        <v>10</v>
      </c>
      <c r="K7" s="382">
        <v>11</v>
      </c>
    </row>
    <row r="8" spans="1:11" x14ac:dyDescent="0.3">
      <c r="A8" s="385">
        <v>1</v>
      </c>
      <c r="B8" s="386" t="s">
        <v>474</v>
      </c>
      <c r="C8" s="395">
        <v>119978.7</v>
      </c>
      <c r="D8" s="396">
        <v>118422.7</v>
      </c>
      <c r="E8" s="396">
        <v>1556</v>
      </c>
      <c r="F8" s="397">
        <v>119978.7</v>
      </c>
      <c r="G8" s="397">
        <v>118422.7</v>
      </c>
      <c r="H8" s="396">
        <v>1556</v>
      </c>
      <c r="I8" s="397">
        <v>119978.7</v>
      </c>
      <c r="J8" s="397">
        <v>118422.7</v>
      </c>
      <c r="K8" s="396">
        <v>1556</v>
      </c>
    </row>
    <row r="9" spans="1:11" x14ac:dyDescent="0.3">
      <c r="A9" s="385">
        <v>2</v>
      </c>
      <c r="B9" s="386" t="s">
        <v>475</v>
      </c>
      <c r="C9" s="398">
        <v>164799.9</v>
      </c>
      <c r="D9" s="396">
        <v>163024.9</v>
      </c>
      <c r="E9" s="396">
        <v>1775</v>
      </c>
      <c r="F9" s="397">
        <v>164799.9</v>
      </c>
      <c r="G9" s="397">
        <v>163024.9</v>
      </c>
      <c r="H9" s="396">
        <v>1775</v>
      </c>
      <c r="I9" s="397">
        <v>164799.9</v>
      </c>
      <c r="J9" s="397">
        <v>163024.9</v>
      </c>
      <c r="K9" s="396">
        <v>1775</v>
      </c>
    </row>
    <row r="10" spans="1:11" x14ac:dyDescent="0.3">
      <c r="A10" s="385">
        <v>3</v>
      </c>
      <c r="B10" s="386" t="s">
        <v>476</v>
      </c>
      <c r="C10" s="398">
        <v>893738.7</v>
      </c>
      <c r="D10" s="396">
        <v>882075.6</v>
      </c>
      <c r="E10" s="396">
        <v>11663.1</v>
      </c>
      <c r="F10" s="397">
        <v>893738.7</v>
      </c>
      <c r="G10" s="397">
        <v>882075.6</v>
      </c>
      <c r="H10" s="396">
        <v>11663.1</v>
      </c>
      <c r="I10" s="397">
        <v>893738.7</v>
      </c>
      <c r="J10" s="397">
        <v>882075.6</v>
      </c>
      <c r="K10" s="396">
        <v>11663.1</v>
      </c>
    </row>
    <row r="11" spans="1:11" x14ac:dyDescent="0.3">
      <c r="A11" s="385">
        <v>4</v>
      </c>
      <c r="B11" s="386" t="s">
        <v>477</v>
      </c>
      <c r="C11" s="398">
        <v>108604.6</v>
      </c>
      <c r="D11" s="396">
        <v>107062.3</v>
      </c>
      <c r="E11" s="396">
        <v>1542.3</v>
      </c>
      <c r="F11" s="397">
        <v>108604.6</v>
      </c>
      <c r="G11" s="397">
        <v>107062.3</v>
      </c>
      <c r="H11" s="396">
        <v>1542.3</v>
      </c>
      <c r="I11" s="397">
        <v>108604.6</v>
      </c>
      <c r="J11" s="397">
        <v>107062.3</v>
      </c>
      <c r="K11" s="396">
        <v>1542.3</v>
      </c>
    </row>
    <row r="12" spans="1:11" x14ac:dyDescent="0.3">
      <c r="A12" s="385">
        <v>5</v>
      </c>
      <c r="B12" s="386" t="s">
        <v>11</v>
      </c>
      <c r="C12" s="399">
        <v>132514.9</v>
      </c>
      <c r="D12" s="396">
        <v>130837</v>
      </c>
      <c r="E12" s="396">
        <v>1677.9</v>
      </c>
      <c r="F12" s="397">
        <v>132514.9</v>
      </c>
      <c r="G12" s="397">
        <v>130837</v>
      </c>
      <c r="H12" s="396">
        <v>1677.9</v>
      </c>
      <c r="I12" s="397">
        <v>132514.9</v>
      </c>
      <c r="J12" s="397">
        <v>130837</v>
      </c>
      <c r="K12" s="396">
        <v>1677.9</v>
      </c>
    </row>
    <row r="13" spans="1:11" x14ac:dyDescent="0.3">
      <c r="A13" s="385">
        <v>6</v>
      </c>
      <c r="B13" s="386" t="s">
        <v>12</v>
      </c>
      <c r="C13" s="399">
        <v>49892.5</v>
      </c>
      <c r="D13" s="396">
        <v>49281.5</v>
      </c>
      <c r="E13" s="396">
        <v>611</v>
      </c>
      <c r="F13" s="397">
        <v>49892.5</v>
      </c>
      <c r="G13" s="397">
        <v>49281.5</v>
      </c>
      <c r="H13" s="396">
        <v>611</v>
      </c>
      <c r="I13" s="397">
        <v>49892.5</v>
      </c>
      <c r="J13" s="397">
        <v>49281.5</v>
      </c>
      <c r="K13" s="396">
        <v>611</v>
      </c>
    </row>
    <row r="14" spans="1:11" x14ac:dyDescent="0.3">
      <c r="A14" s="385">
        <v>7</v>
      </c>
      <c r="B14" s="386" t="s">
        <v>13</v>
      </c>
      <c r="C14" s="398">
        <v>52645</v>
      </c>
      <c r="D14" s="396">
        <v>52016.7</v>
      </c>
      <c r="E14" s="396">
        <v>628.29999999999995</v>
      </c>
      <c r="F14" s="397">
        <v>52645</v>
      </c>
      <c r="G14" s="397">
        <v>52016.7</v>
      </c>
      <c r="H14" s="396">
        <v>628.29999999999995</v>
      </c>
      <c r="I14" s="397">
        <v>52645</v>
      </c>
      <c r="J14" s="397">
        <v>52016.7</v>
      </c>
      <c r="K14" s="396">
        <v>628.29999999999995</v>
      </c>
    </row>
    <row r="15" spans="1:11" x14ac:dyDescent="0.3">
      <c r="A15" s="385">
        <v>8</v>
      </c>
      <c r="B15" s="386" t="s">
        <v>14</v>
      </c>
      <c r="C15" s="398">
        <v>55112.4</v>
      </c>
      <c r="D15" s="396">
        <v>54458.400000000001</v>
      </c>
      <c r="E15" s="396">
        <v>654</v>
      </c>
      <c r="F15" s="397">
        <v>55112.4</v>
      </c>
      <c r="G15" s="397">
        <v>54458.400000000001</v>
      </c>
      <c r="H15" s="396">
        <v>654</v>
      </c>
      <c r="I15" s="397">
        <v>55112.4</v>
      </c>
      <c r="J15" s="397">
        <v>54458.400000000001</v>
      </c>
      <c r="K15" s="396">
        <v>654</v>
      </c>
    </row>
    <row r="16" spans="1:11" x14ac:dyDescent="0.3">
      <c r="A16" s="385">
        <v>9</v>
      </c>
      <c r="B16" s="386" t="s">
        <v>15</v>
      </c>
      <c r="C16" s="398">
        <v>75533.399999999994</v>
      </c>
      <c r="D16" s="396">
        <v>74669.2</v>
      </c>
      <c r="E16" s="396">
        <v>864.2</v>
      </c>
      <c r="F16" s="397">
        <v>75533.399999999994</v>
      </c>
      <c r="G16" s="397">
        <v>74669.2</v>
      </c>
      <c r="H16" s="396">
        <v>864.2</v>
      </c>
      <c r="I16" s="397">
        <v>75533.399999999994</v>
      </c>
      <c r="J16" s="397">
        <v>74669.2</v>
      </c>
      <c r="K16" s="396">
        <v>864.2</v>
      </c>
    </row>
    <row r="17" spans="1:11" x14ac:dyDescent="0.3">
      <c r="A17" s="385">
        <v>10</v>
      </c>
      <c r="B17" s="386" t="s">
        <v>16</v>
      </c>
      <c r="C17" s="398">
        <v>24440.5</v>
      </c>
      <c r="D17" s="396">
        <v>24246.9</v>
      </c>
      <c r="E17" s="396">
        <v>193.6</v>
      </c>
      <c r="F17" s="397">
        <v>24440.5</v>
      </c>
      <c r="G17" s="397">
        <v>24246.9</v>
      </c>
      <c r="H17" s="396">
        <v>193.6</v>
      </c>
      <c r="I17" s="397">
        <v>24440.5</v>
      </c>
      <c r="J17" s="397">
        <v>24246.9</v>
      </c>
      <c r="K17" s="396">
        <v>193.6</v>
      </c>
    </row>
    <row r="18" spans="1:11" x14ac:dyDescent="0.3">
      <c r="A18" s="385">
        <v>11</v>
      </c>
      <c r="B18" s="386" t="s">
        <v>17</v>
      </c>
      <c r="C18" s="398">
        <v>19140.099999999999</v>
      </c>
      <c r="D18" s="396">
        <v>18971.8</v>
      </c>
      <c r="E18" s="396">
        <v>168.3</v>
      </c>
      <c r="F18" s="397">
        <v>19140.099999999999</v>
      </c>
      <c r="G18" s="397">
        <v>18971.8</v>
      </c>
      <c r="H18" s="396">
        <v>168.3</v>
      </c>
      <c r="I18" s="397">
        <v>19140.099999999999</v>
      </c>
      <c r="J18" s="397">
        <v>18971.8</v>
      </c>
      <c r="K18" s="396">
        <v>168.3</v>
      </c>
    </row>
    <row r="19" spans="1:11" x14ac:dyDescent="0.3">
      <c r="A19" s="385">
        <v>12</v>
      </c>
      <c r="B19" s="386" t="s">
        <v>18</v>
      </c>
      <c r="C19" s="398">
        <v>26033.4</v>
      </c>
      <c r="D19" s="396">
        <v>25719.300000000003</v>
      </c>
      <c r="E19" s="396">
        <v>314.10000000000002</v>
      </c>
      <c r="F19" s="397">
        <v>26033.4</v>
      </c>
      <c r="G19" s="397">
        <v>25719.3</v>
      </c>
      <c r="H19" s="396">
        <v>314.10000000000002</v>
      </c>
      <c r="I19" s="397">
        <v>26033.4</v>
      </c>
      <c r="J19" s="397">
        <v>25719.3</v>
      </c>
      <c r="K19" s="396">
        <v>314.10000000000002</v>
      </c>
    </row>
    <row r="20" spans="1:11" x14ac:dyDescent="0.3">
      <c r="A20" s="385">
        <v>13</v>
      </c>
      <c r="B20" s="386" t="s">
        <v>19</v>
      </c>
      <c r="C20" s="398">
        <v>21500.2</v>
      </c>
      <c r="D20" s="396">
        <v>21295.5</v>
      </c>
      <c r="E20" s="396">
        <v>204.7</v>
      </c>
      <c r="F20" s="397">
        <v>21500.2</v>
      </c>
      <c r="G20" s="397">
        <v>21295.5</v>
      </c>
      <c r="H20" s="396">
        <v>204.7</v>
      </c>
      <c r="I20" s="397">
        <v>21500.2</v>
      </c>
      <c r="J20" s="397">
        <v>21295.5</v>
      </c>
      <c r="K20" s="396">
        <v>204.7</v>
      </c>
    </row>
    <row r="21" spans="1:11" x14ac:dyDescent="0.3">
      <c r="A21" s="385">
        <v>14</v>
      </c>
      <c r="B21" s="386" t="s">
        <v>20</v>
      </c>
      <c r="C21" s="398">
        <v>9050.1</v>
      </c>
      <c r="D21" s="396">
        <v>8945.1</v>
      </c>
      <c r="E21" s="396">
        <v>105</v>
      </c>
      <c r="F21" s="397">
        <v>9050.1</v>
      </c>
      <c r="G21" s="397">
        <v>8945.1</v>
      </c>
      <c r="H21" s="396">
        <v>105</v>
      </c>
      <c r="I21" s="397">
        <v>9050.1</v>
      </c>
      <c r="J21" s="397">
        <v>8945.1</v>
      </c>
      <c r="K21" s="396">
        <v>105</v>
      </c>
    </row>
    <row r="22" spans="1:11" x14ac:dyDescent="0.3">
      <c r="A22" s="385">
        <v>15</v>
      </c>
      <c r="B22" s="386" t="s">
        <v>21</v>
      </c>
      <c r="C22" s="398">
        <v>24133.1</v>
      </c>
      <c r="D22" s="396">
        <v>23928.6</v>
      </c>
      <c r="E22" s="396">
        <v>204.5</v>
      </c>
      <c r="F22" s="397">
        <v>24133.1</v>
      </c>
      <c r="G22" s="397">
        <v>23928.6</v>
      </c>
      <c r="H22" s="396">
        <v>204.5</v>
      </c>
      <c r="I22" s="397">
        <v>24133.1</v>
      </c>
      <c r="J22" s="397">
        <v>23928.6</v>
      </c>
      <c r="K22" s="396">
        <v>204.5</v>
      </c>
    </row>
    <row r="23" spans="1:11" x14ac:dyDescent="0.3">
      <c r="A23" s="385">
        <v>16</v>
      </c>
      <c r="B23" s="386" t="s">
        <v>22</v>
      </c>
      <c r="C23" s="398">
        <v>9605.6</v>
      </c>
      <c r="D23" s="396">
        <v>9505.6</v>
      </c>
      <c r="E23" s="396">
        <v>100</v>
      </c>
      <c r="F23" s="397">
        <v>9605.6</v>
      </c>
      <c r="G23" s="397">
        <v>9505.6</v>
      </c>
      <c r="H23" s="396">
        <v>100</v>
      </c>
      <c r="I23" s="397">
        <v>9605.6</v>
      </c>
      <c r="J23" s="397">
        <v>9505.6</v>
      </c>
      <c r="K23" s="396">
        <v>100</v>
      </c>
    </row>
    <row r="24" spans="1:11" x14ac:dyDescent="0.3">
      <c r="A24" s="385">
        <v>17</v>
      </c>
      <c r="B24" s="386" t="s">
        <v>23</v>
      </c>
      <c r="C24" s="398">
        <v>12065</v>
      </c>
      <c r="D24" s="396">
        <v>11966.2</v>
      </c>
      <c r="E24" s="396">
        <v>98.8</v>
      </c>
      <c r="F24" s="397">
        <v>12065</v>
      </c>
      <c r="G24" s="397">
        <v>11966.2</v>
      </c>
      <c r="H24" s="396">
        <v>98.8</v>
      </c>
      <c r="I24" s="397">
        <v>12065</v>
      </c>
      <c r="J24" s="397">
        <v>11966.2</v>
      </c>
      <c r="K24" s="396">
        <v>98.8</v>
      </c>
    </row>
    <row r="25" spans="1:11" x14ac:dyDescent="0.3">
      <c r="A25" s="385">
        <v>18</v>
      </c>
      <c r="B25" s="386" t="s">
        <v>24</v>
      </c>
      <c r="C25" s="398">
        <v>23011.4</v>
      </c>
      <c r="D25" s="396">
        <v>22794.5</v>
      </c>
      <c r="E25" s="396">
        <v>216.9</v>
      </c>
      <c r="F25" s="397">
        <v>23011.4</v>
      </c>
      <c r="G25" s="397">
        <v>22794.5</v>
      </c>
      <c r="H25" s="396">
        <v>216.9</v>
      </c>
      <c r="I25" s="397">
        <v>23011.4</v>
      </c>
      <c r="J25" s="397">
        <v>22794.5</v>
      </c>
      <c r="K25" s="396">
        <v>216.9</v>
      </c>
    </row>
    <row r="26" spans="1:11" x14ac:dyDescent="0.3">
      <c r="A26" s="385">
        <v>19</v>
      </c>
      <c r="B26" s="386" t="s">
        <v>25</v>
      </c>
      <c r="C26" s="398">
        <v>63346.400000000001</v>
      </c>
      <c r="D26" s="396">
        <v>62581.1</v>
      </c>
      <c r="E26" s="396">
        <v>765.3</v>
      </c>
      <c r="F26" s="397">
        <v>63346.400000000001</v>
      </c>
      <c r="G26" s="397">
        <v>62581.1</v>
      </c>
      <c r="H26" s="396">
        <v>765.3</v>
      </c>
      <c r="I26" s="397">
        <v>63346.400000000001</v>
      </c>
      <c r="J26" s="397">
        <v>62581.1</v>
      </c>
      <c r="K26" s="396">
        <v>765.3</v>
      </c>
    </row>
    <row r="27" spans="1:11" x14ac:dyDescent="0.3">
      <c r="A27" s="385">
        <v>20</v>
      </c>
      <c r="B27" s="386" t="s">
        <v>26</v>
      </c>
      <c r="C27" s="398">
        <v>13943.8</v>
      </c>
      <c r="D27" s="396">
        <v>13845</v>
      </c>
      <c r="E27" s="396">
        <v>98.8</v>
      </c>
      <c r="F27" s="397">
        <v>13943.8</v>
      </c>
      <c r="G27" s="397">
        <v>13845</v>
      </c>
      <c r="H27" s="396">
        <v>98.8</v>
      </c>
      <c r="I27" s="397">
        <v>13943.8</v>
      </c>
      <c r="J27" s="397">
        <v>13845</v>
      </c>
      <c r="K27" s="396">
        <v>98.8</v>
      </c>
    </row>
    <row r="28" spans="1:11" x14ac:dyDescent="0.3">
      <c r="A28" s="385">
        <v>21</v>
      </c>
      <c r="B28" s="386" t="s">
        <v>27</v>
      </c>
      <c r="C28" s="398">
        <v>94030.1</v>
      </c>
      <c r="D28" s="396">
        <v>93044</v>
      </c>
      <c r="E28" s="396">
        <v>986.1</v>
      </c>
      <c r="F28" s="397">
        <v>94030.1</v>
      </c>
      <c r="G28" s="397">
        <v>93044</v>
      </c>
      <c r="H28" s="396">
        <v>986.1</v>
      </c>
      <c r="I28" s="397">
        <v>94030.1</v>
      </c>
      <c r="J28" s="397">
        <v>93044</v>
      </c>
      <c r="K28" s="396">
        <v>986.1</v>
      </c>
    </row>
    <row r="29" spans="1:11" x14ac:dyDescent="0.3">
      <c r="A29" s="385">
        <v>22</v>
      </c>
      <c r="B29" s="386" t="s">
        <v>28</v>
      </c>
      <c r="C29" s="399">
        <v>4674.7</v>
      </c>
      <c r="D29" s="396">
        <v>4609.5</v>
      </c>
      <c r="E29" s="396">
        <v>65.2</v>
      </c>
      <c r="F29" s="397">
        <v>4674.7</v>
      </c>
      <c r="G29" s="397">
        <v>4609.5</v>
      </c>
      <c r="H29" s="396">
        <v>65.2</v>
      </c>
      <c r="I29" s="397">
        <v>4674.7</v>
      </c>
      <c r="J29" s="397">
        <v>4609.5</v>
      </c>
      <c r="K29" s="396">
        <v>65.2</v>
      </c>
    </row>
    <row r="30" spans="1:11" x14ac:dyDescent="0.3">
      <c r="A30" s="385">
        <v>23</v>
      </c>
      <c r="B30" s="386" t="s">
        <v>29</v>
      </c>
      <c r="C30" s="398">
        <v>33254.1</v>
      </c>
      <c r="D30" s="396">
        <v>32949</v>
      </c>
      <c r="E30" s="396">
        <v>305.10000000000002</v>
      </c>
      <c r="F30" s="397">
        <v>33254.1</v>
      </c>
      <c r="G30" s="397">
        <v>32949</v>
      </c>
      <c r="H30" s="396">
        <v>305.10000000000002</v>
      </c>
      <c r="I30" s="397">
        <v>33254.1</v>
      </c>
      <c r="J30" s="397">
        <v>32949</v>
      </c>
      <c r="K30" s="396">
        <v>305.10000000000002</v>
      </c>
    </row>
    <row r="31" spans="1:11" x14ac:dyDescent="0.3">
      <c r="A31" s="385">
        <v>24</v>
      </c>
      <c r="B31" s="386" t="s">
        <v>30</v>
      </c>
      <c r="C31" s="398">
        <v>79810.600000000006</v>
      </c>
      <c r="D31" s="396">
        <v>78705.400000000009</v>
      </c>
      <c r="E31" s="396">
        <v>1105.2</v>
      </c>
      <c r="F31" s="397">
        <v>79810.600000000006</v>
      </c>
      <c r="G31" s="397">
        <v>78705.399999999994</v>
      </c>
      <c r="H31" s="396">
        <v>1105.2</v>
      </c>
      <c r="I31" s="397">
        <v>79810.600000000006</v>
      </c>
      <c r="J31" s="397">
        <v>78705.399999999994</v>
      </c>
      <c r="K31" s="396">
        <v>1105.2</v>
      </c>
    </row>
    <row r="32" spans="1:11" x14ac:dyDescent="0.3">
      <c r="A32" s="385">
        <v>25</v>
      </c>
      <c r="B32" s="386" t="s">
        <v>31</v>
      </c>
      <c r="C32" s="398">
        <v>32816.300000000003</v>
      </c>
      <c r="D32" s="396">
        <v>32444.400000000001</v>
      </c>
      <c r="E32" s="396">
        <v>371.9</v>
      </c>
      <c r="F32" s="397">
        <v>32816.300000000003</v>
      </c>
      <c r="G32" s="397">
        <v>32444.400000000001</v>
      </c>
      <c r="H32" s="396">
        <v>371.9</v>
      </c>
      <c r="I32" s="397">
        <v>32816.300000000003</v>
      </c>
      <c r="J32" s="397">
        <v>32444.400000000001</v>
      </c>
      <c r="K32" s="396">
        <v>371.9</v>
      </c>
    </row>
    <row r="33" spans="1:11" x14ac:dyDescent="0.3">
      <c r="A33" s="385">
        <v>26</v>
      </c>
      <c r="B33" s="386" t="s">
        <v>32</v>
      </c>
      <c r="C33" s="398">
        <v>9928.4</v>
      </c>
      <c r="D33" s="396">
        <v>9793.6999999999989</v>
      </c>
      <c r="E33" s="396">
        <v>134.69999999999999</v>
      </c>
      <c r="F33" s="397">
        <v>9928.4</v>
      </c>
      <c r="G33" s="397">
        <v>9793.7000000000007</v>
      </c>
      <c r="H33" s="396">
        <v>134.69999999999999</v>
      </c>
      <c r="I33" s="397">
        <v>9928.4</v>
      </c>
      <c r="J33" s="397">
        <v>9793.7000000000007</v>
      </c>
      <c r="K33" s="396">
        <v>134.69999999999999</v>
      </c>
    </row>
    <row r="34" spans="1:11" x14ac:dyDescent="0.3">
      <c r="A34" s="385">
        <v>27</v>
      </c>
      <c r="B34" s="386" t="s">
        <v>33</v>
      </c>
      <c r="C34" s="398">
        <v>11090.8</v>
      </c>
      <c r="D34" s="396">
        <v>11008.099999999999</v>
      </c>
      <c r="E34" s="396">
        <v>82.7</v>
      </c>
      <c r="F34" s="397">
        <v>11090.8</v>
      </c>
      <c r="G34" s="397">
        <v>11008.1</v>
      </c>
      <c r="H34" s="396">
        <v>82.7</v>
      </c>
      <c r="I34" s="397">
        <v>11090.8</v>
      </c>
      <c r="J34" s="397">
        <v>11008.1</v>
      </c>
      <c r="K34" s="396">
        <v>82.7</v>
      </c>
    </row>
    <row r="35" spans="1:11" x14ac:dyDescent="0.3">
      <c r="A35" s="385">
        <v>28</v>
      </c>
      <c r="B35" s="386" t="s">
        <v>34</v>
      </c>
      <c r="C35" s="398">
        <v>223039.6</v>
      </c>
      <c r="D35" s="396">
        <v>220751.9</v>
      </c>
      <c r="E35" s="396">
        <v>2287.6999999999998</v>
      </c>
      <c r="F35" s="397">
        <v>223039.6</v>
      </c>
      <c r="G35" s="397">
        <v>220751.9</v>
      </c>
      <c r="H35" s="396">
        <v>2287.6999999999998</v>
      </c>
      <c r="I35" s="397">
        <v>223039.6</v>
      </c>
      <c r="J35" s="397">
        <v>220751.9</v>
      </c>
      <c r="K35" s="396">
        <v>2287.6999999999998</v>
      </c>
    </row>
    <row r="36" spans="1:11" x14ac:dyDescent="0.3">
      <c r="A36" s="385">
        <v>29</v>
      </c>
      <c r="B36" s="386" t="s">
        <v>35</v>
      </c>
      <c r="C36" s="398">
        <v>22778.799999999999</v>
      </c>
      <c r="D36" s="396">
        <v>22541.1</v>
      </c>
      <c r="E36" s="396">
        <v>237.7</v>
      </c>
      <c r="F36" s="397">
        <v>22778.799999999999</v>
      </c>
      <c r="G36" s="397">
        <v>22541.1</v>
      </c>
      <c r="H36" s="396">
        <v>237.7</v>
      </c>
      <c r="I36" s="397">
        <v>22778.799999999999</v>
      </c>
      <c r="J36" s="397">
        <v>22541.1</v>
      </c>
      <c r="K36" s="396">
        <v>237.7</v>
      </c>
    </row>
    <row r="37" spans="1:11" x14ac:dyDescent="0.3">
      <c r="A37" s="385">
        <v>30</v>
      </c>
      <c r="B37" s="386" t="s">
        <v>36</v>
      </c>
      <c r="C37" s="398">
        <v>49884.800000000003</v>
      </c>
      <c r="D37" s="396">
        <v>49252.4</v>
      </c>
      <c r="E37" s="396">
        <v>632.4</v>
      </c>
      <c r="F37" s="397">
        <v>49884.800000000003</v>
      </c>
      <c r="G37" s="397">
        <v>49252.4</v>
      </c>
      <c r="H37" s="396">
        <v>632.4</v>
      </c>
      <c r="I37" s="397">
        <v>49884.800000000003</v>
      </c>
      <c r="J37" s="397">
        <v>49252.4</v>
      </c>
      <c r="K37" s="396">
        <v>632.4</v>
      </c>
    </row>
    <row r="38" spans="1:11" x14ac:dyDescent="0.3">
      <c r="A38" s="385">
        <v>31</v>
      </c>
      <c r="B38" s="386" t="s">
        <v>37</v>
      </c>
      <c r="C38" s="398">
        <v>39769.599999999999</v>
      </c>
      <c r="D38" s="396">
        <v>39496.299999999996</v>
      </c>
      <c r="E38" s="396">
        <v>273.3</v>
      </c>
      <c r="F38" s="397">
        <v>39769.599999999999</v>
      </c>
      <c r="G38" s="397">
        <v>39496.300000000003</v>
      </c>
      <c r="H38" s="396">
        <v>273.3</v>
      </c>
      <c r="I38" s="397">
        <v>39769.599999999999</v>
      </c>
      <c r="J38" s="397">
        <v>39496.300000000003</v>
      </c>
      <c r="K38" s="396">
        <v>273.3</v>
      </c>
    </row>
    <row r="39" spans="1:11" x14ac:dyDescent="0.3">
      <c r="A39" s="385">
        <v>32</v>
      </c>
      <c r="B39" s="386" t="s">
        <v>38</v>
      </c>
      <c r="C39" s="398">
        <v>5717.9</v>
      </c>
      <c r="D39" s="396">
        <v>5645.0999999999995</v>
      </c>
      <c r="E39" s="396">
        <v>72.8</v>
      </c>
      <c r="F39" s="397">
        <v>5717.9</v>
      </c>
      <c r="G39" s="397">
        <v>5645.1</v>
      </c>
      <c r="H39" s="396">
        <v>72.8</v>
      </c>
      <c r="I39" s="397">
        <v>5717.9</v>
      </c>
      <c r="J39" s="397">
        <v>5645.1</v>
      </c>
      <c r="K39" s="396">
        <v>72.8</v>
      </c>
    </row>
    <row r="40" spans="1:11" x14ac:dyDescent="0.3">
      <c r="A40" s="385">
        <v>33</v>
      </c>
      <c r="B40" s="386" t="s">
        <v>39</v>
      </c>
      <c r="C40" s="398">
        <v>23475.200000000001</v>
      </c>
      <c r="D40" s="396">
        <v>23230.100000000002</v>
      </c>
      <c r="E40" s="396">
        <v>245.1</v>
      </c>
      <c r="F40" s="397">
        <v>23475.200000000001</v>
      </c>
      <c r="G40" s="397">
        <v>23230.1</v>
      </c>
      <c r="H40" s="396">
        <v>245.1</v>
      </c>
      <c r="I40" s="397">
        <v>23475.200000000001</v>
      </c>
      <c r="J40" s="397">
        <v>23230.1</v>
      </c>
      <c r="K40" s="396">
        <v>245.1</v>
      </c>
    </row>
    <row r="41" spans="1:11" x14ac:dyDescent="0.3">
      <c r="A41" s="385">
        <v>34</v>
      </c>
      <c r="B41" s="386" t="s">
        <v>40</v>
      </c>
      <c r="C41" s="398">
        <v>13463.8</v>
      </c>
      <c r="D41" s="396">
        <v>13307.3</v>
      </c>
      <c r="E41" s="396">
        <v>156.5</v>
      </c>
      <c r="F41" s="397">
        <v>13463.8</v>
      </c>
      <c r="G41" s="397">
        <v>13307.3</v>
      </c>
      <c r="H41" s="396">
        <v>156.5</v>
      </c>
      <c r="I41" s="397">
        <v>13463.8</v>
      </c>
      <c r="J41" s="397">
        <v>13307.3</v>
      </c>
      <c r="K41" s="396">
        <v>156.5</v>
      </c>
    </row>
    <row r="42" spans="1:11" x14ac:dyDescent="0.3">
      <c r="A42" s="385">
        <v>35</v>
      </c>
      <c r="B42" s="386" t="s">
        <v>41</v>
      </c>
      <c r="C42" s="398">
        <v>12366.4</v>
      </c>
      <c r="D42" s="396">
        <v>12259.4</v>
      </c>
      <c r="E42" s="396">
        <v>107</v>
      </c>
      <c r="F42" s="397">
        <v>12366.4</v>
      </c>
      <c r="G42" s="397">
        <v>12259.4</v>
      </c>
      <c r="H42" s="396">
        <v>107</v>
      </c>
      <c r="I42" s="397">
        <v>12366.4</v>
      </c>
      <c r="J42" s="397">
        <v>12259.4</v>
      </c>
      <c r="K42" s="396">
        <v>107</v>
      </c>
    </row>
    <row r="43" spans="1:11" x14ac:dyDescent="0.3">
      <c r="A43" s="385">
        <v>36</v>
      </c>
      <c r="B43" s="386" t="s">
        <v>42</v>
      </c>
      <c r="C43" s="398">
        <v>17882.3</v>
      </c>
      <c r="D43" s="396">
        <v>17712.5</v>
      </c>
      <c r="E43" s="396">
        <v>169.8</v>
      </c>
      <c r="F43" s="397">
        <v>17882.3</v>
      </c>
      <c r="G43" s="397">
        <v>17712.5</v>
      </c>
      <c r="H43" s="396">
        <v>169.8</v>
      </c>
      <c r="I43" s="397">
        <v>17882.3</v>
      </c>
      <c r="J43" s="397">
        <v>17712.5</v>
      </c>
      <c r="K43" s="396">
        <v>169.8</v>
      </c>
    </row>
    <row r="44" spans="1:11" x14ac:dyDescent="0.3">
      <c r="A44" s="385">
        <v>37</v>
      </c>
      <c r="B44" s="386" t="s">
        <v>43</v>
      </c>
      <c r="C44" s="398">
        <v>36905.300000000003</v>
      </c>
      <c r="D44" s="396">
        <v>36568.100000000006</v>
      </c>
      <c r="E44" s="396">
        <v>337.2</v>
      </c>
      <c r="F44" s="397">
        <v>36905.300000000003</v>
      </c>
      <c r="G44" s="397">
        <v>36568.1</v>
      </c>
      <c r="H44" s="396">
        <v>337.2</v>
      </c>
      <c r="I44" s="397">
        <v>36905.300000000003</v>
      </c>
      <c r="J44" s="397">
        <v>36568.1</v>
      </c>
      <c r="K44" s="396">
        <v>337.2</v>
      </c>
    </row>
    <row r="45" spans="1:11" x14ac:dyDescent="0.3">
      <c r="A45" s="385">
        <v>38</v>
      </c>
      <c r="B45" s="386" t="s">
        <v>44</v>
      </c>
      <c r="C45" s="398">
        <v>11696.9</v>
      </c>
      <c r="D45" s="396">
        <v>11551.4</v>
      </c>
      <c r="E45" s="396">
        <v>145.5</v>
      </c>
      <c r="F45" s="397">
        <v>11696.9</v>
      </c>
      <c r="G45" s="397">
        <v>11551.4</v>
      </c>
      <c r="H45" s="396">
        <v>145.5</v>
      </c>
      <c r="I45" s="397">
        <v>11696.9</v>
      </c>
      <c r="J45" s="397">
        <v>11551.4</v>
      </c>
      <c r="K45" s="396">
        <v>145.5</v>
      </c>
    </row>
    <row r="46" spans="1:11" x14ac:dyDescent="0.3">
      <c r="A46" s="385">
        <v>39</v>
      </c>
      <c r="B46" s="386" t="s">
        <v>45</v>
      </c>
      <c r="C46" s="398">
        <v>29037.200000000001</v>
      </c>
      <c r="D46" s="396">
        <v>28566.100000000002</v>
      </c>
      <c r="E46" s="396">
        <v>471.1</v>
      </c>
      <c r="F46" s="397">
        <v>29037.200000000001</v>
      </c>
      <c r="G46" s="397">
        <v>28566.1</v>
      </c>
      <c r="H46" s="396">
        <v>471.1</v>
      </c>
      <c r="I46" s="397">
        <v>29037.200000000001</v>
      </c>
      <c r="J46" s="397">
        <v>28566.1</v>
      </c>
      <c r="K46" s="396">
        <v>471.1</v>
      </c>
    </row>
    <row r="47" spans="1:11" x14ac:dyDescent="0.3">
      <c r="A47" s="385">
        <v>40</v>
      </c>
      <c r="B47" s="386" t="s">
        <v>46</v>
      </c>
      <c r="C47" s="398">
        <v>17052.599999999999</v>
      </c>
      <c r="D47" s="396">
        <v>16920.699999999997</v>
      </c>
      <c r="E47" s="396">
        <v>131.9</v>
      </c>
      <c r="F47" s="397">
        <v>17052.599999999999</v>
      </c>
      <c r="G47" s="397">
        <v>16920.7</v>
      </c>
      <c r="H47" s="396">
        <v>131.9</v>
      </c>
      <c r="I47" s="397">
        <v>17052.599999999999</v>
      </c>
      <c r="J47" s="397">
        <v>16920.7</v>
      </c>
      <c r="K47" s="396">
        <v>131.9</v>
      </c>
    </row>
    <row r="48" spans="1:11" x14ac:dyDescent="0.3">
      <c r="A48" s="385">
        <v>41</v>
      </c>
      <c r="B48" s="386" t="s">
        <v>47</v>
      </c>
      <c r="C48" s="398">
        <v>38567.300000000003</v>
      </c>
      <c r="D48" s="396">
        <v>38128.5</v>
      </c>
      <c r="E48" s="396">
        <v>438.8</v>
      </c>
      <c r="F48" s="397">
        <v>38567.300000000003</v>
      </c>
      <c r="G48" s="397">
        <v>38128.5</v>
      </c>
      <c r="H48" s="396">
        <v>438.8</v>
      </c>
      <c r="I48" s="397">
        <v>38567.300000000003</v>
      </c>
      <c r="J48" s="397">
        <v>38128.5</v>
      </c>
      <c r="K48" s="396">
        <v>438.8</v>
      </c>
    </row>
    <row r="49" spans="1:25" x14ac:dyDescent="0.3">
      <c r="A49" s="385">
        <v>42</v>
      </c>
      <c r="B49" s="386" t="s">
        <v>48</v>
      </c>
      <c r="C49" s="398">
        <v>3991.2</v>
      </c>
      <c r="D49" s="396">
        <v>3942.5</v>
      </c>
      <c r="E49" s="396">
        <v>48.7</v>
      </c>
      <c r="F49" s="397">
        <v>3991.2</v>
      </c>
      <c r="G49" s="397">
        <v>3942.5</v>
      </c>
      <c r="H49" s="396">
        <v>48.7</v>
      </c>
      <c r="I49" s="397">
        <v>3991.2</v>
      </c>
      <c r="J49" s="397">
        <v>3942.5</v>
      </c>
      <c r="K49" s="396">
        <v>48.7</v>
      </c>
    </row>
    <row r="50" spans="1:25" x14ac:dyDescent="0.3">
      <c r="A50" s="528" t="s">
        <v>65</v>
      </c>
      <c r="B50" s="529"/>
      <c r="C50" s="400">
        <f>SUM(C8:C49)</f>
        <v>2710323.5999999987</v>
      </c>
      <c r="D50" s="400">
        <f t="shared" ref="D50:E50" si="0">SUM(D8:D49)</f>
        <v>2678075.4000000004</v>
      </c>
      <c r="E50" s="400">
        <f t="shared" si="0"/>
        <v>32248.2</v>
      </c>
      <c r="F50" s="400">
        <f>SUM(F8:F49)</f>
        <v>2710323.5999999987</v>
      </c>
      <c r="G50" s="400">
        <f>SUM(G8:G49)</f>
        <v>2678075.4000000004</v>
      </c>
      <c r="H50" s="400">
        <f>SUM(H8:H49)</f>
        <v>32248.2</v>
      </c>
      <c r="I50" s="400">
        <f>SUM(I8:I49)</f>
        <v>2710323.5999999987</v>
      </c>
      <c r="J50" s="400">
        <f>SUM(J8:J49)</f>
        <v>2678075.4000000004</v>
      </c>
      <c r="K50" s="400">
        <f t="shared" ref="K50" si="1">SUM(K8:K49)</f>
        <v>32248.2</v>
      </c>
    </row>
    <row r="51" spans="1:25" x14ac:dyDescent="0.3">
      <c r="A51" s="530" t="s">
        <v>361</v>
      </c>
      <c r="B51" s="530"/>
      <c r="C51" s="396">
        <v>108381.4</v>
      </c>
      <c r="D51" s="396">
        <v>0</v>
      </c>
      <c r="E51" s="396">
        <v>0</v>
      </c>
      <c r="F51" s="391">
        <v>112373.4</v>
      </c>
      <c r="G51" s="391">
        <v>0</v>
      </c>
      <c r="H51" s="391">
        <v>0</v>
      </c>
      <c r="I51" s="391">
        <v>112373.4</v>
      </c>
      <c r="J51" s="391">
        <v>0</v>
      </c>
      <c r="K51" s="391">
        <v>0</v>
      </c>
    </row>
    <row r="52" spans="1:25" x14ac:dyDescent="0.3">
      <c r="A52" s="527" t="s">
        <v>391</v>
      </c>
      <c r="B52" s="527"/>
      <c r="C52" s="401">
        <f>C50+C51</f>
        <v>2818704.9999999986</v>
      </c>
      <c r="D52" s="401">
        <f t="shared" ref="D52:E52" si="2">D50+D51</f>
        <v>2678075.4000000004</v>
      </c>
      <c r="E52" s="401">
        <f t="shared" si="2"/>
        <v>32248.2</v>
      </c>
      <c r="F52" s="391">
        <f>F50+F51</f>
        <v>2822696.9999999986</v>
      </c>
      <c r="G52" s="391">
        <f t="shared" ref="G52:H52" si="3">G50+G51</f>
        <v>2678075.4000000004</v>
      </c>
      <c r="H52" s="391">
        <f t="shared" si="3"/>
        <v>32248.2</v>
      </c>
      <c r="I52" s="391">
        <f>I50+I51</f>
        <v>2822696.9999999986</v>
      </c>
      <c r="J52" s="391">
        <f t="shared" ref="J52:K52" si="4">J50+J51</f>
        <v>2678075.4000000004</v>
      </c>
      <c r="K52" s="391">
        <f t="shared" si="4"/>
        <v>32248.2</v>
      </c>
      <c r="Y52" s="378">
        <v>201596.1</v>
      </c>
    </row>
    <row r="53" spans="1:25" x14ac:dyDescent="0.3">
      <c r="F53" s="393"/>
    </row>
    <row r="54" spans="1:25" x14ac:dyDescent="0.3">
      <c r="F54" s="393"/>
    </row>
  </sheetData>
  <mergeCells count="17">
    <mergeCell ref="A52:B52"/>
    <mergeCell ref="F5:F6"/>
    <mergeCell ref="G5:H5"/>
    <mergeCell ref="I5:I6"/>
    <mergeCell ref="J5:K5"/>
    <mergeCell ref="A50:B50"/>
    <mergeCell ref="A51:B51"/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</mergeCells>
  <printOptions horizontalCentered="1"/>
  <pageMargins left="0.39370078740157483" right="0.39370078740157483" top="0.78740157480314965" bottom="0.39370078740157483" header="0.23622047244094491" footer="0.19685039370078741"/>
  <pageSetup paperSize="9" scale="51" fitToHeight="7" orientation="landscape" r:id="rId1"/>
  <headerFooter differentFirst="1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A54"/>
  <sheetViews>
    <sheetView view="pageBreakPreview" zoomScale="110" zoomScaleNormal="80" zoomScaleSheetLayoutView="110" workbookViewId="0">
      <selection activeCell="F5" sqref="F5:F6"/>
    </sheetView>
  </sheetViews>
  <sheetFormatPr defaultColWidth="9.140625" defaultRowHeight="18.75" x14ac:dyDescent="0.3"/>
  <cols>
    <col min="1" max="1" width="6.140625" style="378" customWidth="1"/>
    <col min="2" max="2" width="49.28515625" style="378" customWidth="1"/>
    <col min="3" max="3" width="20.28515625" style="378" bestFit="1" customWidth="1"/>
    <col min="4" max="4" width="21" style="378" customWidth="1"/>
    <col min="5" max="5" width="18.85546875" style="378" customWidth="1"/>
    <col min="6" max="6" width="21.140625" style="378" customWidth="1"/>
    <col min="7" max="7" width="23" style="378" customWidth="1"/>
    <col min="8" max="8" width="19" style="378" customWidth="1"/>
    <col min="9" max="9" width="19.85546875" style="378" customWidth="1"/>
    <col min="10" max="10" width="23" style="378" customWidth="1"/>
    <col min="11" max="11" width="20.140625" style="378" customWidth="1"/>
    <col min="12" max="16384" width="9.140625" style="378"/>
  </cols>
  <sheetData>
    <row r="1" spans="1:11" x14ac:dyDescent="0.3">
      <c r="A1" s="519" t="s">
        <v>465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84" customHeight="1" x14ac:dyDescent="0.3">
      <c r="A2" s="531" t="s">
        <v>466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18" customHeight="1" x14ac:dyDescent="0.3">
      <c r="A3" s="520" t="s">
        <v>467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s="379" customFormat="1" ht="15.75" x14ac:dyDescent="0.25">
      <c r="A4" s="532" t="s">
        <v>62</v>
      </c>
      <c r="B4" s="532" t="s">
        <v>52</v>
      </c>
      <c r="C4" s="536" t="s">
        <v>3</v>
      </c>
      <c r="D4" s="536"/>
      <c r="E4" s="536"/>
      <c r="F4" s="537" t="s">
        <v>5</v>
      </c>
      <c r="G4" s="537"/>
      <c r="H4" s="537"/>
      <c r="I4" s="537" t="s">
        <v>6</v>
      </c>
      <c r="J4" s="537"/>
      <c r="K4" s="537"/>
    </row>
    <row r="5" spans="1:11" s="379" customFormat="1" ht="15.75" x14ac:dyDescent="0.25">
      <c r="A5" s="533"/>
      <c r="B5" s="533"/>
      <c r="C5" s="538" t="s">
        <v>468</v>
      </c>
      <c r="D5" s="538" t="s">
        <v>396</v>
      </c>
      <c r="E5" s="538"/>
      <c r="F5" s="536" t="s">
        <v>468</v>
      </c>
      <c r="G5" s="536" t="s">
        <v>396</v>
      </c>
      <c r="H5" s="536"/>
      <c r="I5" s="536" t="s">
        <v>468</v>
      </c>
      <c r="J5" s="536" t="s">
        <v>396</v>
      </c>
      <c r="K5" s="536"/>
    </row>
    <row r="6" spans="1:11" s="379" customFormat="1" ht="104.25" customHeight="1" x14ac:dyDescent="0.25">
      <c r="A6" s="534"/>
      <c r="B6" s="535"/>
      <c r="C6" s="538"/>
      <c r="D6" s="380" t="s">
        <v>469</v>
      </c>
      <c r="E6" s="380" t="s">
        <v>470</v>
      </c>
      <c r="F6" s="536"/>
      <c r="G6" s="381" t="s">
        <v>471</v>
      </c>
      <c r="H6" s="381" t="s">
        <v>472</v>
      </c>
      <c r="I6" s="536"/>
      <c r="J6" s="381" t="s">
        <v>473</v>
      </c>
      <c r="K6" s="381" t="s">
        <v>472</v>
      </c>
    </row>
    <row r="7" spans="1:11" s="384" customFormat="1" ht="15.75" customHeight="1" x14ac:dyDescent="0.3">
      <c r="A7" s="382">
        <v>1</v>
      </c>
      <c r="B7" s="383">
        <v>2</v>
      </c>
      <c r="C7" s="382">
        <v>3</v>
      </c>
      <c r="D7" s="383">
        <v>4</v>
      </c>
      <c r="E7" s="382">
        <v>5</v>
      </c>
      <c r="F7" s="383">
        <v>6</v>
      </c>
      <c r="G7" s="382">
        <v>7</v>
      </c>
      <c r="H7" s="383">
        <v>8</v>
      </c>
      <c r="I7" s="382">
        <v>9</v>
      </c>
      <c r="J7" s="383">
        <v>10</v>
      </c>
      <c r="K7" s="382">
        <v>11</v>
      </c>
    </row>
    <row r="8" spans="1:11" x14ac:dyDescent="0.3">
      <c r="A8" s="385">
        <v>1</v>
      </c>
      <c r="B8" s="386" t="s">
        <v>474</v>
      </c>
      <c r="C8" s="387">
        <v>203587.6</v>
      </c>
      <c r="D8" s="388">
        <v>196608</v>
      </c>
      <c r="E8" s="388">
        <v>6979.6</v>
      </c>
      <c r="F8" s="387">
        <v>203587.6</v>
      </c>
      <c r="G8" s="388">
        <v>196608</v>
      </c>
      <c r="H8" s="388">
        <v>6979.6</v>
      </c>
      <c r="I8" s="387">
        <v>203587.6</v>
      </c>
      <c r="J8" s="388">
        <v>196608</v>
      </c>
      <c r="K8" s="388">
        <v>6979.6</v>
      </c>
    </row>
    <row r="9" spans="1:11" x14ac:dyDescent="0.3">
      <c r="A9" s="385">
        <v>2</v>
      </c>
      <c r="B9" s="386" t="s">
        <v>475</v>
      </c>
      <c r="C9" s="387">
        <v>250654.6</v>
      </c>
      <c r="D9" s="388">
        <v>242074.1</v>
      </c>
      <c r="E9" s="388">
        <v>8580.5</v>
      </c>
      <c r="F9" s="387">
        <v>250654.6</v>
      </c>
      <c r="G9" s="388">
        <v>242074.1</v>
      </c>
      <c r="H9" s="388">
        <v>8580.5</v>
      </c>
      <c r="I9" s="387">
        <v>250654.6</v>
      </c>
      <c r="J9" s="388">
        <v>242074.1</v>
      </c>
      <c r="K9" s="388">
        <v>8580.5</v>
      </c>
    </row>
    <row r="10" spans="1:11" x14ac:dyDescent="0.3">
      <c r="A10" s="385">
        <v>3</v>
      </c>
      <c r="B10" s="386" t="s">
        <v>476</v>
      </c>
      <c r="C10" s="387">
        <v>1957642.4</v>
      </c>
      <c r="D10" s="388">
        <v>1891969.1</v>
      </c>
      <c r="E10" s="388">
        <v>65673.3</v>
      </c>
      <c r="F10" s="387">
        <v>1957642.4</v>
      </c>
      <c r="G10" s="388">
        <v>1891969.1</v>
      </c>
      <c r="H10" s="388">
        <v>65673.3</v>
      </c>
      <c r="I10" s="387">
        <v>1957642.4</v>
      </c>
      <c r="J10" s="388">
        <v>1891969.1</v>
      </c>
      <c r="K10" s="388">
        <v>65673.3</v>
      </c>
    </row>
    <row r="11" spans="1:11" x14ac:dyDescent="0.3">
      <c r="A11" s="385">
        <v>4</v>
      </c>
      <c r="B11" s="386" t="s">
        <v>477</v>
      </c>
      <c r="C11" s="387">
        <v>208042.3</v>
      </c>
      <c r="D11" s="388">
        <v>200965.5</v>
      </c>
      <c r="E11" s="388">
        <v>7076.8</v>
      </c>
      <c r="F11" s="387">
        <v>208042.3</v>
      </c>
      <c r="G11" s="388">
        <v>200965.5</v>
      </c>
      <c r="H11" s="388">
        <v>7076.8</v>
      </c>
      <c r="I11" s="387">
        <v>208042.3</v>
      </c>
      <c r="J11" s="388">
        <v>200965.5</v>
      </c>
      <c r="K11" s="388">
        <v>7076.8</v>
      </c>
    </row>
    <row r="12" spans="1:11" x14ac:dyDescent="0.3">
      <c r="A12" s="385">
        <v>5</v>
      </c>
      <c r="B12" s="386" t="s">
        <v>11</v>
      </c>
      <c r="C12" s="389">
        <v>349538.1</v>
      </c>
      <c r="D12" s="388">
        <v>337735</v>
      </c>
      <c r="E12" s="388">
        <v>11803.1</v>
      </c>
      <c r="F12" s="389">
        <v>349538.1</v>
      </c>
      <c r="G12" s="388">
        <v>337735</v>
      </c>
      <c r="H12" s="388">
        <v>11803.1</v>
      </c>
      <c r="I12" s="389">
        <v>349538.1</v>
      </c>
      <c r="J12" s="388">
        <v>337735</v>
      </c>
      <c r="K12" s="388">
        <v>11803.1</v>
      </c>
    </row>
    <row r="13" spans="1:11" x14ac:dyDescent="0.3">
      <c r="A13" s="385">
        <v>6</v>
      </c>
      <c r="B13" s="386" t="s">
        <v>12</v>
      </c>
      <c r="C13" s="389">
        <v>107693.7</v>
      </c>
      <c r="D13" s="388">
        <v>104036.3</v>
      </c>
      <c r="E13" s="388">
        <v>3657.4</v>
      </c>
      <c r="F13" s="389">
        <v>107693.7</v>
      </c>
      <c r="G13" s="388">
        <v>104036.3</v>
      </c>
      <c r="H13" s="388">
        <v>3657.4</v>
      </c>
      <c r="I13" s="389">
        <v>107693.7</v>
      </c>
      <c r="J13" s="388">
        <v>104036.3</v>
      </c>
      <c r="K13" s="388">
        <v>3657.4</v>
      </c>
    </row>
    <row r="14" spans="1:11" x14ac:dyDescent="0.3">
      <c r="A14" s="385">
        <v>7</v>
      </c>
      <c r="B14" s="386" t="s">
        <v>13</v>
      </c>
      <c r="C14" s="387">
        <v>110232.7</v>
      </c>
      <c r="D14" s="388">
        <v>106466.9</v>
      </c>
      <c r="E14" s="388">
        <v>3765.8</v>
      </c>
      <c r="F14" s="387">
        <v>110232.7</v>
      </c>
      <c r="G14" s="388">
        <v>106466.9</v>
      </c>
      <c r="H14" s="388">
        <v>3765.8</v>
      </c>
      <c r="I14" s="387">
        <v>110232.7</v>
      </c>
      <c r="J14" s="388">
        <v>106466.9</v>
      </c>
      <c r="K14" s="388">
        <v>3765.8</v>
      </c>
    </row>
    <row r="15" spans="1:11" x14ac:dyDescent="0.3">
      <c r="A15" s="385">
        <v>8</v>
      </c>
      <c r="B15" s="386" t="s">
        <v>14</v>
      </c>
      <c r="C15" s="387">
        <v>105921.3</v>
      </c>
      <c r="D15" s="388">
        <v>102290</v>
      </c>
      <c r="E15" s="388">
        <v>3631.3</v>
      </c>
      <c r="F15" s="387">
        <v>105921.3</v>
      </c>
      <c r="G15" s="388">
        <v>102290</v>
      </c>
      <c r="H15" s="388">
        <v>3631.3</v>
      </c>
      <c r="I15" s="387">
        <v>105921.3</v>
      </c>
      <c r="J15" s="388">
        <v>102290</v>
      </c>
      <c r="K15" s="388">
        <v>3631.3</v>
      </c>
    </row>
    <row r="16" spans="1:11" x14ac:dyDescent="0.3">
      <c r="A16" s="385">
        <v>9</v>
      </c>
      <c r="B16" s="386" t="s">
        <v>15</v>
      </c>
      <c r="C16" s="387">
        <v>193610.4</v>
      </c>
      <c r="D16" s="388">
        <v>187256.8</v>
      </c>
      <c r="E16" s="388">
        <v>6353.6</v>
      </c>
      <c r="F16" s="387">
        <v>193610.4</v>
      </c>
      <c r="G16" s="388">
        <v>187256.8</v>
      </c>
      <c r="H16" s="388">
        <v>6353.6</v>
      </c>
      <c r="I16" s="387">
        <v>193610.4</v>
      </c>
      <c r="J16" s="388">
        <v>187256.8</v>
      </c>
      <c r="K16" s="388">
        <v>6353.6</v>
      </c>
    </row>
    <row r="17" spans="1:11" x14ac:dyDescent="0.3">
      <c r="A17" s="385">
        <v>10</v>
      </c>
      <c r="B17" s="386" t="s">
        <v>16</v>
      </c>
      <c r="C17" s="387">
        <v>50854.8</v>
      </c>
      <c r="D17" s="388">
        <v>49111.3</v>
      </c>
      <c r="E17" s="388">
        <v>1743.5</v>
      </c>
      <c r="F17" s="387">
        <v>50854.8</v>
      </c>
      <c r="G17" s="388">
        <v>49111.3</v>
      </c>
      <c r="H17" s="388">
        <v>1743.5</v>
      </c>
      <c r="I17" s="387">
        <v>50854.8</v>
      </c>
      <c r="J17" s="388">
        <v>49111.3</v>
      </c>
      <c r="K17" s="388">
        <v>1743.5</v>
      </c>
    </row>
    <row r="18" spans="1:11" x14ac:dyDescent="0.3">
      <c r="A18" s="385">
        <v>11</v>
      </c>
      <c r="B18" s="386" t="s">
        <v>17</v>
      </c>
      <c r="C18" s="387">
        <v>45250.1</v>
      </c>
      <c r="D18" s="388">
        <v>43710.9</v>
      </c>
      <c r="E18" s="388">
        <v>1539.2</v>
      </c>
      <c r="F18" s="387">
        <v>45250.1</v>
      </c>
      <c r="G18" s="388">
        <v>43710.9</v>
      </c>
      <c r="H18" s="388">
        <v>1539.2</v>
      </c>
      <c r="I18" s="387">
        <v>45250.1</v>
      </c>
      <c r="J18" s="388">
        <v>43710.9</v>
      </c>
      <c r="K18" s="388">
        <v>1539.2</v>
      </c>
    </row>
    <row r="19" spans="1:11" x14ac:dyDescent="0.3">
      <c r="A19" s="385">
        <v>12</v>
      </c>
      <c r="B19" s="386" t="s">
        <v>18</v>
      </c>
      <c r="C19" s="387">
        <v>62887.4</v>
      </c>
      <c r="D19" s="388">
        <v>60738.9</v>
      </c>
      <c r="E19" s="388">
        <v>2148.5</v>
      </c>
      <c r="F19" s="387">
        <v>62887.4</v>
      </c>
      <c r="G19" s="388">
        <v>60738.9</v>
      </c>
      <c r="H19" s="388">
        <v>2148.5</v>
      </c>
      <c r="I19" s="387">
        <v>62887.4</v>
      </c>
      <c r="J19" s="388">
        <v>60738.9</v>
      </c>
      <c r="K19" s="388">
        <v>2148.5</v>
      </c>
    </row>
    <row r="20" spans="1:11" x14ac:dyDescent="0.3">
      <c r="A20" s="385">
        <v>13</v>
      </c>
      <c r="B20" s="386" t="s">
        <v>19</v>
      </c>
      <c r="C20" s="387">
        <v>41183.599999999999</v>
      </c>
      <c r="D20" s="388">
        <v>39782.199999999997</v>
      </c>
      <c r="E20" s="388">
        <v>1401.4</v>
      </c>
      <c r="F20" s="387">
        <v>41183.599999999999</v>
      </c>
      <c r="G20" s="388">
        <v>39782.199999999997</v>
      </c>
      <c r="H20" s="388">
        <v>1401.4</v>
      </c>
      <c r="I20" s="387">
        <v>41183.599999999999</v>
      </c>
      <c r="J20" s="388">
        <v>39782.199999999997</v>
      </c>
      <c r="K20" s="388">
        <v>1401.4</v>
      </c>
    </row>
    <row r="21" spans="1:11" x14ac:dyDescent="0.3">
      <c r="A21" s="385">
        <v>14</v>
      </c>
      <c r="B21" s="386" t="s">
        <v>20</v>
      </c>
      <c r="C21" s="387">
        <v>42346.2</v>
      </c>
      <c r="D21" s="388">
        <v>40896.9</v>
      </c>
      <c r="E21" s="388">
        <v>1449.3</v>
      </c>
      <c r="F21" s="387">
        <v>42346.2</v>
      </c>
      <c r="G21" s="388">
        <v>40896.9</v>
      </c>
      <c r="H21" s="388">
        <v>1449.3</v>
      </c>
      <c r="I21" s="387">
        <v>42346.2</v>
      </c>
      <c r="J21" s="388">
        <v>40896.9</v>
      </c>
      <c r="K21" s="388">
        <v>1449.3</v>
      </c>
    </row>
    <row r="22" spans="1:11" x14ac:dyDescent="0.3">
      <c r="A22" s="385">
        <v>15</v>
      </c>
      <c r="B22" s="386" t="s">
        <v>21</v>
      </c>
      <c r="C22" s="387">
        <v>62092.6</v>
      </c>
      <c r="D22" s="388">
        <v>59983.6</v>
      </c>
      <c r="E22" s="388">
        <v>2109</v>
      </c>
      <c r="F22" s="387">
        <v>62092.6</v>
      </c>
      <c r="G22" s="388">
        <v>59983.6</v>
      </c>
      <c r="H22" s="388">
        <v>2109</v>
      </c>
      <c r="I22" s="387">
        <v>62092.6</v>
      </c>
      <c r="J22" s="388">
        <v>59983.6</v>
      </c>
      <c r="K22" s="388">
        <v>2109</v>
      </c>
    </row>
    <row r="23" spans="1:11" x14ac:dyDescent="0.3">
      <c r="A23" s="385">
        <v>16</v>
      </c>
      <c r="B23" s="386" t="s">
        <v>22</v>
      </c>
      <c r="C23" s="387">
        <v>31464.9</v>
      </c>
      <c r="D23" s="388">
        <v>30396.1</v>
      </c>
      <c r="E23" s="388">
        <v>1068.8</v>
      </c>
      <c r="F23" s="387">
        <v>31464.9</v>
      </c>
      <c r="G23" s="388">
        <v>30396.1</v>
      </c>
      <c r="H23" s="388">
        <v>1068.8</v>
      </c>
      <c r="I23" s="387">
        <v>31464.9</v>
      </c>
      <c r="J23" s="388">
        <v>30396.1</v>
      </c>
      <c r="K23" s="388">
        <v>1068.8</v>
      </c>
    </row>
    <row r="24" spans="1:11" x14ac:dyDescent="0.3">
      <c r="A24" s="385">
        <v>17</v>
      </c>
      <c r="B24" s="386" t="s">
        <v>23</v>
      </c>
      <c r="C24" s="387">
        <v>25971.4</v>
      </c>
      <c r="D24" s="388">
        <v>25081.5</v>
      </c>
      <c r="E24" s="388">
        <v>889.9</v>
      </c>
      <c r="F24" s="387">
        <v>25971.4</v>
      </c>
      <c r="G24" s="388">
        <v>25081.5</v>
      </c>
      <c r="H24" s="388">
        <v>889.9</v>
      </c>
      <c r="I24" s="387">
        <v>25971.4</v>
      </c>
      <c r="J24" s="388">
        <v>25081.5</v>
      </c>
      <c r="K24" s="388">
        <v>889.9</v>
      </c>
    </row>
    <row r="25" spans="1:11" x14ac:dyDescent="0.3">
      <c r="A25" s="385">
        <v>18</v>
      </c>
      <c r="B25" s="386" t="s">
        <v>24</v>
      </c>
      <c r="C25" s="387">
        <v>68253.8</v>
      </c>
      <c r="D25" s="388">
        <v>65913.899999999994</v>
      </c>
      <c r="E25" s="388">
        <v>2339.9</v>
      </c>
      <c r="F25" s="387">
        <v>68253.8</v>
      </c>
      <c r="G25" s="388">
        <v>65913.899999999994</v>
      </c>
      <c r="H25" s="388">
        <v>2339.9</v>
      </c>
      <c r="I25" s="387">
        <v>68253.8</v>
      </c>
      <c r="J25" s="388">
        <v>65913.899999999994</v>
      </c>
      <c r="K25" s="388">
        <v>2339.9</v>
      </c>
    </row>
    <row r="26" spans="1:11" x14ac:dyDescent="0.3">
      <c r="A26" s="385">
        <v>19</v>
      </c>
      <c r="B26" s="386" t="s">
        <v>25</v>
      </c>
      <c r="C26" s="387">
        <v>140171.9</v>
      </c>
      <c r="D26" s="388">
        <v>135413</v>
      </c>
      <c r="E26" s="388">
        <v>4758.8999999999996</v>
      </c>
      <c r="F26" s="387">
        <v>140171.9</v>
      </c>
      <c r="G26" s="388">
        <v>135413</v>
      </c>
      <c r="H26" s="388">
        <v>4758.8999999999996</v>
      </c>
      <c r="I26" s="387">
        <v>140171.9</v>
      </c>
      <c r="J26" s="388">
        <v>135413</v>
      </c>
      <c r="K26" s="388">
        <v>4758.8999999999996</v>
      </c>
    </row>
    <row r="27" spans="1:11" x14ac:dyDescent="0.3">
      <c r="A27" s="385">
        <v>20</v>
      </c>
      <c r="B27" s="386" t="s">
        <v>26</v>
      </c>
      <c r="C27" s="387">
        <v>20233.7</v>
      </c>
      <c r="D27" s="388">
        <v>19540.8</v>
      </c>
      <c r="E27" s="388">
        <v>692.9</v>
      </c>
      <c r="F27" s="387">
        <v>20233.7</v>
      </c>
      <c r="G27" s="388">
        <v>19540.8</v>
      </c>
      <c r="H27" s="388">
        <v>692.9</v>
      </c>
      <c r="I27" s="387">
        <v>20233.7</v>
      </c>
      <c r="J27" s="388">
        <v>19540.8</v>
      </c>
      <c r="K27" s="388">
        <v>692.9</v>
      </c>
    </row>
    <row r="28" spans="1:11" x14ac:dyDescent="0.3">
      <c r="A28" s="385">
        <v>21</v>
      </c>
      <c r="B28" s="386" t="s">
        <v>27</v>
      </c>
      <c r="C28" s="387">
        <v>165618.9</v>
      </c>
      <c r="D28" s="388">
        <v>160024.1</v>
      </c>
      <c r="E28" s="388">
        <v>5594.8</v>
      </c>
      <c r="F28" s="387">
        <v>165618.9</v>
      </c>
      <c r="G28" s="388">
        <v>160024.1</v>
      </c>
      <c r="H28" s="388">
        <v>5594.8</v>
      </c>
      <c r="I28" s="387">
        <v>165618.9</v>
      </c>
      <c r="J28" s="388">
        <v>160024.1</v>
      </c>
      <c r="K28" s="388">
        <v>5594.8</v>
      </c>
    </row>
    <row r="29" spans="1:11" x14ac:dyDescent="0.3">
      <c r="A29" s="385">
        <v>22</v>
      </c>
      <c r="B29" s="386" t="s">
        <v>28</v>
      </c>
      <c r="C29" s="389">
        <v>22673</v>
      </c>
      <c r="D29" s="388">
        <v>21905.3</v>
      </c>
      <c r="E29" s="388">
        <v>767.7</v>
      </c>
      <c r="F29" s="389">
        <v>22673</v>
      </c>
      <c r="G29" s="388">
        <v>21905.3</v>
      </c>
      <c r="H29" s="388">
        <v>767.7</v>
      </c>
      <c r="I29" s="389">
        <v>22673</v>
      </c>
      <c r="J29" s="388">
        <v>21905.3</v>
      </c>
      <c r="K29" s="388">
        <v>767.7</v>
      </c>
    </row>
    <row r="30" spans="1:11" x14ac:dyDescent="0.3">
      <c r="A30" s="385">
        <v>23</v>
      </c>
      <c r="B30" s="386" t="s">
        <v>29</v>
      </c>
      <c r="C30" s="387">
        <v>87068.5</v>
      </c>
      <c r="D30" s="388">
        <v>84098.3</v>
      </c>
      <c r="E30" s="388">
        <v>2970.2</v>
      </c>
      <c r="F30" s="387">
        <v>87068.5</v>
      </c>
      <c r="G30" s="388">
        <v>84098.3</v>
      </c>
      <c r="H30" s="388">
        <v>2970.2</v>
      </c>
      <c r="I30" s="387">
        <v>87068.5</v>
      </c>
      <c r="J30" s="388">
        <v>84098.3</v>
      </c>
      <c r="K30" s="388">
        <v>2970.2</v>
      </c>
    </row>
    <row r="31" spans="1:11" x14ac:dyDescent="0.3">
      <c r="A31" s="385">
        <v>24</v>
      </c>
      <c r="B31" s="386" t="s">
        <v>30</v>
      </c>
      <c r="C31" s="387">
        <v>431520.5</v>
      </c>
      <c r="D31" s="388">
        <v>417080.4</v>
      </c>
      <c r="E31" s="388">
        <v>14440.1</v>
      </c>
      <c r="F31" s="387">
        <v>431520.5</v>
      </c>
      <c r="G31" s="388">
        <v>417080.4</v>
      </c>
      <c r="H31" s="388">
        <v>14440.1</v>
      </c>
      <c r="I31" s="387">
        <v>431520.5</v>
      </c>
      <c r="J31" s="388">
        <v>417080.4</v>
      </c>
      <c r="K31" s="388">
        <v>14440.1</v>
      </c>
    </row>
    <row r="32" spans="1:11" x14ac:dyDescent="0.3">
      <c r="A32" s="385">
        <v>25</v>
      </c>
      <c r="B32" s="386" t="s">
        <v>31</v>
      </c>
      <c r="C32" s="387">
        <v>92192</v>
      </c>
      <c r="D32" s="388">
        <v>89063.9</v>
      </c>
      <c r="E32" s="388">
        <v>3128.1</v>
      </c>
      <c r="F32" s="387">
        <v>92192</v>
      </c>
      <c r="G32" s="388">
        <v>89063.9</v>
      </c>
      <c r="H32" s="388">
        <v>3128.1</v>
      </c>
      <c r="I32" s="387">
        <v>92192</v>
      </c>
      <c r="J32" s="388">
        <v>89063.9</v>
      </c>
      <c r="K32" s="388">
        <v>3128.1</v>
      </c>
    </row>
    <row r="33" spans="1:11" x14ac:dyDescent="0.3">
      <c r="A33" s="385">
        <v>26</v>
      </c>
      <c r="B33" s="386" t="s">
        <v>32</v>
      </c>
      <c r="C33" s="387">
        <v>41443.4</v>
      </c>
      <c r="D33" s="388">
        <v>40050.9</v>
      </c>
      <c r="E33" s="388">
        <v>1392.5</v>
      </c>
      <c r="F33" s="387">
        <v>41443.4</v>
      </c>
      <c r="G33" s="388">
        <v>40050.9</v>
      </c>
      <c r="H33" s="388">
        <v>1392.5</v>
      </c>
      <c r="I33" s="387">
        <v>41443.4</v>
      </c>
      <c r="J33" s="388">
        <v>40050.9</v>
      </c>
      <c r="K33" s="388">
        <v>1392.5</v>
      </c>
    </row>
    <row r="34" spans="1:11" x14ac:dyDescent="0.3">
      <c r="A34" s="385">
        <v>27</v>
      </c>
      <c r="B34" s="386" t="s">
        <v>33</v>
      </c>
      <c r="C34" s="387">
        <v>58829</v>
      </c>
      <c r="D34" s="388">
        <v>56842.2</v>
      </c>
      <c r="E34" s="388">
        <v>1986.8</v>
      </c>
      <c r="F34" s="387">
        <v>58829</v>
      </c>
      <c r="G34" s="388">
        <v>56842.2</v>
      </c>
      <c r="H34" s="388">
        <v>1986.8</v>
      </c>
      <c r="I34" s="387">
        <v>58829</v>
      </c>
      <c r="J34" s="388">
        <v>56842.2</v>
      </c>
      <c r="K34" s="388">
        <v>1986.8</v>
      </c>
    </row>
    <row r="35" spans="1:11" x14ac:dyDescent="0.3">
      <c r="A35" s="385">
        <v>28</v>
      </c>
      <c r="B35" s="386" t="s">
        <v>34</v>
      </c>
      <c r="C35" s="387">
        <v>445667.7</v>
      </c>
      <c r="D35" s="388">
        <v>430434</v>
      </c>
      <c r="E35" s="388">
        <v>15233.7</v>
      </c>
      <c r="F35" s="387">
        <v>445667.7</v>
      </c>
      <c r="G35" s="388">
        <v>430434</v>
      </c>
      <c r="H35" s="388">
        <v>15233.7</v>
      </c>
      <c r="I35" s="387">
        <v>445667.7</v>
      </c>
      <c r="J35" s="388">
        <v>430434</v>
      </c>
      <c r="K35" s="388">
        <v>15233.7</v>
      </c>
    </row>
    <row r="36" spans="1:11" x14ac:dyDescent="0.3">
      <c r="A36" s="385">
        <v>29</v>
      </c>
      <c r="B36" s="386" t="s">
        <v>35</v>
      </c>
      <c r="C36" s="387">
        <v>57842.6</v>
      </c>
      <c r="D36" s="388">
        <v>55859.6</v>
      </c>
      <c r="E36" s="388">
        <v>1983</v>
      </c>
      <c r="F36" s="387">
        <v>57842.6</v>
      </c>
      <c r="G36" s="388">
        <v>55859.6</v>
      </c>
      <c r="H36" s="388">
        <v>1983</v>
      </c>
      <c r="I36" s="387">
        <v>57842.6</v>
      </c>
      <c r="J36" s="388">
        <v>55859.6</v>
      </c>
      <c r="K36" s="388">
        <v>1983</v>
      </c>
    </row>
    <row r="37" spans="1:11" x14ac:dyDescent="0.3">
      <c r="A37" s="385">
        <v>30</v>
      </c>
      <c r="B37" s="386" t="s">
        <v>36</v>
      </c>
      <c r="C37" s="387">
        <v>133144</v>
      </c>
      <c r="D37" s="388">
        <v>128646</v>
      </c>
      <c r="E37" s="388">
        <v>4498</v>
      </c>
      <c r="F37" s="387">
        <v>133144</v>
      </c>
      <c r="G37" s="388">
        <v>128646</v>
      </c>
      <c r="H37" s="388">
        <v>4498</v>
      </c>
      <c r="I37" s="387">
        <v>133144</v>
      </c>
      <c r="J37" s="388">
        <v>128646</v>
      </c>
      <c r="K37" s="388">
        <v>4498</v>
      </c>
    </row>
    <row r="38" spans="1:11" x14ac:dyDescent="0.3">
      <c r="A38" s="385">
        <v>31</v>
      </c>
      <c r="B38" s="386" t="s">
        <v>37</v>
      </c>
      <c r="C38" s="387">
        <v>79871.8</v>
      </c>
      <c r="D38" s="388">
        <v>77171.600000000006</v>
      </c>
      <c r="E38" s="388">
        <v>2700.2</v>
      </c>
      <c r="F38" s="387">
        <v>79871.8</v>
      </c>
      <c r="G38" s="388">
        <v>77171.600000000006</v>
      </c>
      <c r="H38" s="388">
        <v>2700.2</v>
      </c>
      <c r="I38" s="387">
        <v>79871.8</v>
      </c>
      <c r="J38" s="388">
        <v>77171.600000000006</v>
      </c>
      <c r="K38" s="388">
        <v>2700.2</v>
      </c>
    </row>
    <row r="39" spans="1:11" x14ac:dyDescent="0.3">
      <c r="A39" s="385">
        <v>32</v>
      </c>
      <c r="B39" s="386" t="s">
        <v>38</v>
      </c>
      <c r="C39" s="387">
        <v>20637.8</v>
      </c>
      <c r="D39" s="388">
        <v>19934.599999999999</v>
      </c>
      <c r="E39" s="388">
        <v>703.2</v>
      </c>
      <c r="F39" s="387">
        <v>20637.8</v>
      </c>
      <c r="G39" s="388">
        <v>19934.599999999999</v>
      </c>
      <c r="H39" s="388">
        <v>703.2</v>
      </c>
      <c r="I39" s="387">
        <v>20637.8</v>
      </c>
      <c r="J39" s="388">
        <v>19934.599999999999</v>
      </c>
      <c r="K39" s="388">
        <v>703.2</v>
      </c>
    </row>
    <row r="40" spans="1:11" x14ac:dyDescent="0.3">
      <c r="A40" s="385">
        <v>33</v>
      </c>
      <c r="B40" s="386" t="s">
        <v>39</v>
      </c>
      <c r="C40" s="387">
        <v>65322.1</v>
      </c>
      <c r="D40" s="388">
        <v>63098.2</v>
      </c>
      <c r="E40" s="388">
        <v>2223.9</v>
      </c>
      <c r="F40" s="387">
        <v>65322.1</v>
      </c>
      <c r="G40" s="388">
        <v>63098.2</v>
      </c>
      <c r="H40" s="388">
        <v>2223.9</v>
      </c>
      <c r="I40" s="387">
        <v>65322.1</v>
      </c>
      <c r="J40" s="388">
        <v>63098.2</v>
      </c>
      <c r="K40" s="388">
        <v>2223.9</v>
      </c>
    </row>
    <row r="41" spans="1:11" x14ac:dyDescent="0.3">
      <c r="A41" s="385">
        <v>34</v>
      </c>
      <c r="B41" s="386" t="s">
        <v>40</v>
      </c>
      <c r="C41" s="387">
        <v>63072.3</v>
      </c>
      <c r="D41" s="388">
        <v>60954.3</v>
      </c>
      <c r="E41" s="388">
        <v>2118</v>
      </c>
      <c r="F41" s="387">
        <v>63072.3</v>
      </c>
      <c r="G41" s="388">
        <v>60954.3</v>
      </c>
      <c r="H41" s="388">
        <v>2118</v>
      </c>
      <c r="I41" s="387">
        <v>63072.3</v>
      </c>
      <c r="J41" s="388">
        <v>60954.3</v>
      </c>
      <c r="K41" s="388">
        <v>2118</v>
      </c>
    </row>
    <row r="42" spans="1:11" x14ac:dyDescent="0.3">
      <c r="A42" s="385">
        <v>35</v>
      </c>
      <c r="B42" s="386" t="s">
        <v>41</v>
      </c>
      <c r="C42" s="387">
        <v>41002.400000000001</v>
      </c>
      <c r="D42" s="388">
        <v>39596.699999999997</v>
      </c>
      <c r="E42" s="388">
        <v>1405.7</v>
      </c>
      <c r="F42" s="387">
        <v>41002.400000000001</v>
      </c>
      <c r="G42" s="388">
        <v>39596.699999999997</v>
      </c>
      <c r="H42" s="388">
        <v>1405.7</v>
      </c>
      <c r="I42" s="387">
        <v>41002.400000000001</v>
      </c>
      <c r="J42" s="388">
        <v>39596.699999999997</v>
      </c>
      <c r="K42" s="388">
        <v>1405.7</v>
      </c>
    </row>
    <row r="43" spans="1:11" x14ac:dyDescent="0.3">
      <c r="A43" s="385">
        <v>36</v>
      </c>
      <c r="B43" s="386" t="s">
        <v>42</v>
      </c>
      <c r="C43" s="387">
        <v>59943.199999999997</v>
      </c>
      <c r="D43" s="388">
        <v>57948.6</v>
      </c>
      <c r="E43" s="388">
        <v>1994.6</v>
      </c>
      <c r="F43" s="387">
        <v>59943.199999999997</v>
      </c>
      <c r="G43" s="388">
        <v>57948.6</v>
      </c>
      <c r="H43" s="388">
        <v>1994.6</v>
      </c>
      <c r="I43" s="387">
        <v>59943.199999999997</v>
      </c>
      <c r="J43" s="388">
        <v>57948.6</v>
      </c>
      <c r="K43" s="388">
        <v>1994.6</v>
      </c>
    </row>
    <row r="44" spans="1:11" x14ac:dyDescent="0.3">
      <c r="A44" s="385">
        <v>37</v>
      </c>
      <c r="B44" s="386" t="s">
        <v>43</v>
      </c>
      <c r="C44" s="387">
        <v>158551.20000000001</v>
      </c>
      <c r="D44" s="388">
        <v>153276.9</v>
      </c>
      <c r="E44" s="388">
        <v>5274.3</v>
      </c>
      <c r="F44" s="387">
        <v>158551.20000000001</v>
      </c>
      <c r="G44" s="388">
        <v>153276.9</v>
      </c>
      <c r="H44" s="388">
        <v>5274.3</v>
      </c>
      <c r="I44" s="387">
        <v>158551.20000000001</v>
      </c>
      <c r="J44" s="388">
        <v>153276.9</v>
      </c>
      <c r="K44" s="388">
        <v>5274.3</v>
      </c>
    </row>
    <row r="45" spans="1:11" x14ac:dyDescent="0.3">
      <c r="A45" s="385">
        <v>38</v>
      </c>
      <c r="B45" s="386" t="s">
        <v>44</v>
      </c>
      <c r="C45" s="387">
        <v>105580</v>
      </c>
      <c r="D45" s="388">
        <v>101960.4</v>
      </c>
      <c r="E45" s="388">
        <v>3619.6</v>
      </c>
      <c r="F45" s="387">
        <v>105580</v>
      </c>
      <c r="G45" s="388">
        <v>101960.4</v>
      </c>
      <c r="H45" s="388">
        <v>3619.6</v>
      </c>
      <c r="I45" s="387">
        <v>105580</v>
      </c>
      <c r="J45" s="388">
        <v>101960.4</v>
      </c>
      <c r="K45" s="388">
        <v>3619.6</v>
      </c>
    </row>
    <row r="46" spans="1:11" x14ac:dyDescent="0.3">
      <c r="A46" s="385">
        <v>39</v>
      </c>
      <c r="B46" s="386" t="s">
        <v>45</v>
      </c>
      <c r="C46" s="387">
        <v>106702.2</v>
      </c>
      <c r="D46" s="388">
        <v>103094.39999999999</v>
      </c>
      <c r="E46" s="388">
        <v>3607.8</v>
      </c>
      <c r="F46" s="387">
        <v>106702.2</v>
      </c>
      <c r="G46" s="388">
        <v>103094.39999999999</v>
      </c>
      <c r="H46" s="388">
        <v>3607.8</v>
      </c>
      <c r="I46" s="387">
        <v>106702.2</v>
      </c>
      <c r="J46" s="388">
        <v>103094.39999999999</v>
      </c>
      <c r="K46" s="388">
        <v>3607.8</v>
      </c>
    </row>
    <row r="47" spans="1:11" x14ac:dyDescent="0.3">
      <c r="A47" s="385">
        <v>40</v>
      </c>
      <c r="B47" s="386" t="s">
        <v>46</v>
      </c>
      <c r="C47" s="387">
        <v>48030.7</v>
      </c>
      <c r="D47" s="388">
        <v>46393.8</v>
      </c>
      <c r="E47" s="388">
        <v>1636.9</v>
      </c>
      <c r="F47" s="387">
        <v>48030.7</v>
      </c>
      <c r="G47" s="388">
        <v>46393.8</v>
      </c>
      <c r="H47" s="388">
        <v>1636.9</v>
      </c>
      <c r="I47" s="387">
        <v>48030.7</v>
      </c>
      <c r="J47" s="388">
        <v>46393.8</v>
      </c>
      <c r="K47" s="388">
        <v>1636.9</v>
      </c>
    </row>
    <row r="48" spans="1:11" x14ac:dyDescent="0.3">
      <c r="A48" s="385">
        <v>41</v>
      </c>
      <c r="B48" s="386" t="s">
        <v>47</v>
      </c>
      <c r="C48" s="387">
        <v>69700.600000000006</v>
      </c>
      <c r="D48" s="388">
        <v>67311.100000000006</v>
      </c>
      <c r="E48" s="388">
        <v>2389.5</v>
      </c>
      <c r="F48" s="387">
        <v>69700.600000000006</v>
      </c>
      <c r="G48" s="388">
        <v>67311.100000000006</v>
      </c>
      <c r="H48" s="388">
        <v>2389.5</v>
      </c>
      <c r="I48" s="387">
        <v>69700.600000000006</v>
      </c>
      <c r="J48" s="388">
        <v>67311.100000000006</v>
      </c>
      <c r="K48" s="388">
        <v>2389.5</v>
      </c>
    </row>
    <row r="49" spans="1:27" x14ac:dyDescent="0.3">
      <c r="A49" s="385">
        <v>42</v>
      </c>
      <c r="B49" s="386" t="s">
        <v>48</v>
      </c>
      <c r="C49" s="387">
        <v>9347.1</v>
      </c>
      <c r="D49" s="388">
        <v>9026.7000000000007</v>
      </c>
      <c r="E49" s="388">
        <v>320.39999999999998</v>
      </c>
      <c r="F49" s="387">
        <v>9347.1</v>
      </c>
      <c r="G49" s="388">
        <v>9026.7000000000007</v>
      </c>
      <c r="H49" s="388">
        <v>320.39999999999998</v>
      </c>
      <c r="I49" s="387">
        <v>9347.1</v>
      </c>
      <c r="J49" s="388">
        <v>9026.7000000000007</v>
      </c>
      <c r="K49" s="388">
        <v>320.39999999999998</v>
      </c>
    </row>
    <row r="50" spans="1:27" x14ac:dyDescent="0.3">
      <c r="A50" s="528" t="s">
        <v>65</v>
      </c>
      <c r="B50" s="529"/>
      <c r="C50" s="390">
        <f t="shared" ref="C50:K50" si="0">C8+C9+C10+C11+C12+C13+C14+C15+C16+C17+C18+C19+C20+C21+C22+C23+C24+C25+C26+C27+C28+C29+C30+C31+C32+C33+C34+C35+C36+C37+C38+C39+C40+C41+C42+C43+C44+C45+C46+C47+C48+C49</f>
        <v>6441394.5</v>
      </c>
      <c r="D50" s="390">
        <f t="shared" si="0"/>
        <v>6223742.7999999998</v>
      </c>
      <c r="E50" s="390">
        <f t="shared" si="0"/>
        <v>217651.70000000004</v>
      </c>
      <c r="F50" s="390">
        <f t="shared" si="0"/>
        <v>6441394.5</v>
      </c>
      <c r="G50" s="390">
        <f t="shared" si="0"/>
        <v>6223742.7999999998</v>
      </c>
      <c r="H50" s="390">
        <f t="shared" si="0"/>
        <v>217651.70000000004</v>
      </c>
      <c r="I50" s="390">
        <f t="shared" si="0"/>
        <v>6441394.5</v>
      </c>
      <c r="J50" s="390">
        <f t="shared" si="0"/>
        <v>6223742.7999999998</v>
      </c>
      <c r="K50" s="390">
        <f t="shared" si="0"/>
        <v>217651.70000000004</v>
      </c>
    </row>
    <row r="51" spans="1:27" x14ac:dyDescent="0.3">
      <c r="A51" s="530" t="s">
        <v>361</v>
      </c>
      <c r="B51" s="530"/>
      <c r="C51" s="388">
        <v>268072.8</v>
      </c>
      <c r="D51" s="388">
        <v>0</v>
      </c>
      <c r="E51" s="388">
        <v>0</v>
      </c>
      <c r="F51" s="391">
        <v>259991.7</v>
      </c>
      <c r="G51" s="391">
        <v>0</v>
      </c>
      <c r="H51" s="391">
        <v>0</v>
      </c>
      <c r="I51" s="391">
        <v>259991.7</v>
      </c>
      <c r="J51" s="391">
        <v>0</v>
      </c>
      <c r="K51" s="391">
        <v>0</v>
      </c>
    </row>
    <row r="52" spans="1:27" x14ac:dyDescent="0.3">
      <c r="A52" s="527" t="s">
        <v>391</v>
      </c>
      <c r="B52" s="527"/>
      <c r="C52" s="392">
        <f t="shared" ref="C52:K52" si="1">C50+C51</f>
        <v>6709467.2999999998</v>
      </c>
      <c r="D52" s="392">
        <f t="shared" si="1"/>
        <v>6223742.7999999998</v>
      </c>
      <c r="E52" s="392">
        <f t="shared" si="1"/>
        <v>217651.70000000004</v>
      </c>
      <c r="F52" s="391">
        <f t="shared" si="1"/>
        <v>6701386.2000000002</v>
      </c>
      <c r="G52" s="391">
        <f t="shared" si="1"/>
        <v>6223742.7999999998</v>
      </c>
      <c r="H52" s="391">
        <f t="shared" si="1"/>
        <v>217651.70000000004</v>
      </c>
      <c r="I52" s="391">
        <f t="shared" si="1"/>
        <v>6701386.2000000002</v>
      </c>
      <c r="J52" s="391">
        <f t="shared" si="1"/>
        <v>6223742.7999999998</v>
      </c>
      <c r="K52" s="391">
        <f t="shared" si="1"/>
        <v>217651.70000000004</v>
      </c>
      <c r="AA52" s="378">
        <v>201596.1</v>
      </c>
    </row>
    <row r="53" spans="1:27" x14ac:dyDescent="0.3">
      <c r="F53" s="393"/>
    </row>
    <row r="54" spans="1:27" x14ac:dyDescent="0.3">
      <c r="F54" s="393"/>
    </row>
  </sheetData>
  <mergeCells count="17">
    <mergeCell ref="A52:B52"/>
    <mergeCell ref="F5:F6"/>
    <mergeCell ref="G5:H5"/>
    <mergeCell ref="I5:I6"/>
    <mergeCell ref="J5:K5"/>
    <mergeCell ref="A50:B50"/>
    <mergeCell ref="A51:B51"/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</mergeCells>
  <printOptions horizontalCentered="1"/>
  <pageMargins left="0.39370078740157483" right="0.39370078740157483" top="0.78740157480314965" bottom="0.39370078740157483" header="0.23622047244094491" footer="0.19685039370078741"/>
  <pageSetup paperSize="9" scale="57" fitToHeight="5" orientation="landscape" r:id="rId1"/>
  <headerFooter>
    <oddHeader>&amp;C&amp;P</oddHeader>
    <oddFooter>&amp;L&amp;8&amp;Z&amp;F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51"/>
  <sheetViews>
    <sheetView view="pageBreakPreview" topLeftCell="A24" zoomScaleNormal="75" zoomScaleSheetLayoutView="100" workbookViewId="0">
      <selection activeCell="M50" sqref="M50"/>
    </sheetView>
  </sheetViews>
  <sheetFormatPr defaultColWidth="9.140625" defaultRowHeight="18.75" x14ac:dyDescent="0.3"/>
  <cols>
    <col min="1" max="1" width="6.7109375" style="169" bestFit="1" customWidth="1"/>
    <col min="2" max="2" width="59.28515625" style="169" customWidth="1"/>
    <col min="3" max="3" width="18" style="169" customWidth="1"/>
    <col min="4" max="4" width="18.140625" style="169" bestFit="1" customWidth="1"/>
    <col min="5" max="5" width="19.28515625" style="169" customWidth="1"/>
    <col min="6" max="16384" width="9.140625" style="169"/>
  </cols>
  <sheetData>
    <row r="1" spans="1:5" x14ac:dyDescent="0.3">
      <c r="A1" s="539" t="s">
        <v>345</v>
      </c>
      <c r="B1" s="539"/>
      <c r="C1" s="539"/>
      <c r="D1" s="539"/>
      <c r="E1" s="539"/>
    </row>
    <row r="2" spans="1:5" ht="117" customHeight="1" x14ac:dyDescent="0.3">
      <c r="A2" s="471" t="s">
        <v>462</v>
      </c>
      <c r="B2" s="471"/>
      <c r="C2" s="471"/>
      <c r="D2" s="471"/>
      <c r="E2" s="471"/>
    </row>
    <row r="3" spans="1:5" ht="15.75" customHeight="1" x14ac:dyDescent="0.3">
      <c r="A3" s="540" t="s">
        <v>0</v>
      </c>
      <c r="B3" s="540" t="s">
        <v>1</v>
      </c>
      <c r="C3" s="428" t="s">
        <v>2</v>
      </c>
      <c r="D3" s="428"/>
      <c r="E3" s="428"/>
    </row>
    <row r="4" spans="1:5" ht="15.75" customHeight="1" x14ac:dyDescent="0.3">
      <c r="A4" s="540"/>
      <c r="B4" s="540"/>
      <c r="C4" s="465" t="s">
        <v>3</v>
      </c>
      <c r="D4" s="428" t="s">
        <v>4</v>
      </c>
      <c r="E4" s="428"/>
    </row>
    <row r="5" spans="1:5" ht="15.75" customHeight="1" x14ac:dyDescent="0.3">
      <c r="A5" s="540"/>
      <c r="B5" s="540"/>
      <c r="C5" s="466"/>
      <c r="D5" s="170" t="s">
        <v>5</v>
      </c>
      <c r="E5" s="170" t="s">
        <v>6</v>
      </c>
    </row>
    <row r="6" spans="1:5" x14ac:dyDescent="0.3">
      <c r="A6" s="171">
        <v>1</v>
      </c>
      <c r="B6" s="171">
        <v>2</v>
      </c>
      <c r="C6" s="121">
        <v>3</v>
      </c>
      <c r="D6" s="172">
        <v>4</v>
      </c>
      <c r="E6" s="172">
        <v>5</v>
      </c>
    </row>
    <row r="7" spans="1:5" x14ac:dyDescent="0.3">
      <c r="A7" s="173">
        <v>1</v>
      </c>
      <c r="B7" s="174" t="s">
        <v>7</v>
      </c>
      <c r="C7" s="175">
        <v>17264.5</v>
      </c>
      <c r="D7" s="175">
        <v>17264.5</v>
      </c>
      <c r="E7" s="175">
        <v>17264.5</v>
      </c>
    </row>
    <row r="8" spans="1:5" x14ac:dyDescent="0.3">
      <c r="A8" s="173">
        <v>2</v>
      </c>
      <c r="B8" s="174" t="s">
        <v>8</v>
      </c>
      <c r="C8" s="176">
        <v>19608.099999999999</v>
      </c>
      <c r="D8" s="175">
        <v>19608.099999999999</v>
      </c>
      <c r="E8" s="175">
        <v>19608.099999999999</v>
      </c>
    </row>
    <row r="9" spans="1:5" x14ac:dyDescent="0.3">
      <c r="A9" s="173">
        <v>3</v>
      </c>
      <c r="B9" s="174" t="s">
        <v>9</v>
      </c>
      <c r="C9" s="176">
        <v>139522.29999999999</v>
      </c>
      <c r="D9" s="175">
        <v>139522.29999999999</v>
      </c>
      <c r="E9" s="175">
        <v>139522.29999999999</v>
      </c>
    </row>
    <row r="10" spans="1:5" x14ac:dyDescent="0.3">
      <c r="A10" s="173">
        <v>4</v>
      </c>
      <c r="B10" s="174" t="s">
        <v>10</v>
      </c>
      <c r="C10" s="176">
        <v>14530.3</v>
      </c>
      <c r="D10" s="175">
        <v>14530.3</v>
      </c>
      <c r="E10" s="175">
        <v>14530.3</v>
      </c>
    </row>
    <row r="11" spans="1:5" x14ac:dyDescent="0.3">
      <c r="A11" s="173">
        <v>5</v>
      </c>
      <c r="B11" s="174" t="s">
        <v>11</v>
      </c>
      <c r="C11" s="176">
        <v>29138.799999999999</v>
      </c>
      <c r="D11" s="175">
        <v>29138.799999999999</v>
      </c>
      <c r="E11" s="175">
        <v>29138.799999999999</v>
      </c>
    </row>
    <row r="12" spans="1:5" x14ac:dyDescent="0.3">
      <c r="A12" s="173">
        <v>6</v>
      </c>
      <c r="B12" s="174" t="s">
        <v>12</v>
      </c>
      <c r="C12" s="176">
        <v>9765</v>
      </c>
      <c r="D12" s="175">
        <v>9765</v>
      </c>
      <c r="E12" s="175">
        <v>9765</v>
      </c>
    </row>
    <row r="13" spans="1:5" x14ac:dyDescent="0.3">
      <c r="A13" s="173">
        <v>7</v>
      </c>
      <c r="B13" s="174" t="s">
        <v>13</v>
      </c>
      <c r="C13" s="176">
        <v>9999.4</v>
      </c>
      <c r="D13" s="175">
        <v>9999.4</v>
      </c>
      <c r="E13" s="175">
        <v>9999.4</v>
      </c>
    </row>
    <row r="14" spans="1:5" x14ac:dyDescent="0.3">
      <c r="A14" s="173">
        <v>8</v>
      </c>
      <c r="B14" s="174" t="s">
        <v>14</v>
      </c>
      <c r="C14" s="176">
        <v>10155.6</v>
      </c>
      <c r="D14" s="175">
        <v>10155.6</v>
      </c>
      <c r="E14" s="175">
        <v>10155.6</v>
      </c>
    </row>
    <row r="15" spans="1:5" x14ac:dyDescent="0.3">
      <c r="A15" s="173">
        <v>9</v>
      </c>
      <c r="B15" s="174" t="s">
        <v>15</v>
      </c>
      <c r="C15" s="176">
        <v>16014.6</v>
      </c>
      <c r="D15" s="175">
        <v>16014.6</v>
      </c>
      <c r="E15" s="175">
        <v>16014.6</v>
      </c>
    </row>
    <row r="16" spans="1:5" x14ac:dyDescent="0.3">
      <c r="A16" s="173">
        <v>10</v>
      </c>
      <c r="B16" s="177" t="s">
        <v>16</v>
      </c>
      <c r="C16" s="176">
        <v>6015.2</v>
      </c>
      <c r="D16" s="175">
        <v>6015.2</v>
      </c>
      <c r="E16" s="175">
        <v>6015.2</v>
      </c>
    </row>
    <row r="17" spans="1:17" x14ac:dyDescent="0.3">
      <c r="A17" s="173">
        <v>11</v>
      </c>
      <c r="B17" s="177" t="s">
        <v>17</v>
      </c>
      <c r="C17" s="176">
        <v>4765.3</v>
      </c>
      <c r="D17" s="175">
        <v>4765.3</v>
      </c>
      <c r="E17" s="175">
        <v>4765.3</v>
      </c>
    </row>
    <row r="18" spans="1:17" x14ac:dyDescent="0.3">
      <c r="A18" s="173">
        <v>12</v>
      </c>
      <c r="B18" s="174" t="s">
        <v>18</v>
      </c>
      <c r="C18" s="176">
        <v>6327.7</v>
      </c>
      <c r="D18" s="175">
        <v>6327.7</v>
      </c>
      <c r="E18" s="175">
        <v>6327.7</v>
      </c>
    </row>
    <row r="19" spans="1:17" x14ac:dyDescent="0.3">
      <c r="A19" s="173">
        <v>13</v>
      </c>
      <c r="B19" s="174" t="s">
        <v>19</v>
      </c>
      <c r="C19" s="176">
        <v>4843.3999999999996</v>
      </c>
      <c r="D19" s="175">
        <v>4843.3999999999996</v>
      </c>
      <c r="E19" s="175">
        <v>4843.3999999999996</v>
      </c>
      <c r="Q19" s="218"/>
    </row>
    <row r="20" spans="1:17" x14ac:dyDescent="0.3">
      <c r="A20" s="173">
        <v>14</v>
      </c>
      <c r="B20" s="174" t="s">
        <v>20</v>
      </c>
      <c r="C20" s="176">
        <v>3437.3</v>
      </c>
      <c r="D20" s="175">
        <v>3437.3</v>
      </c>
      <c r="E20" s="175">
        <v>3437.3</v>
      </c>
    </row>
    <row r="21" spans="1:17" x14ac:dyDescent="0.3">
      <c r="A21" s="173">
        <v>15</v>
      </c>
      <c r="B21" s="174" t="s">
        <v>21</v>
      </c>
      <c r="C21" s="176">
        <v>9921.2000000000007</v>
      </c>
      <c r="D21" s="175">
        <v>9921.2000000000007</v>
      </c>
      <c r="E21" s="175">
        <v>9921.2000000000007</v>
      </c>
    </row>
    <row r="22" spans="1:17" x14ac:dyDescent="0.3">
      <c r="A22" s="173">
        <v>16</v>
      </c>
      <c r="B22" s="174" t="s">
        <v>22</v>
      </c>
      <c r="C22" s="176">
        <v>4296.6000000000004</v>
      </c>
      <c r="D22" s="175">
        <v>4296.6000000000004</v>
      </c>
      <c r="E22" s="175">
        <v>4296.6000000000004</v>
      </c>
    </row>
    <row r="23" spans="1:17" x14ac:dyDescent="0.3">
      <c r="A23" s="173">
        <v>17</v>
      </c>
      <c r="B23" s="174" t="s">
        <v>23</v>
      </c>
      <c r="C23" s="176">
        <v>3124.8</v>
      </c>
      <c r="D23" s="175">
        <v>3124.8</v>
      </c>
      <c r="E23" s="175">
        <v>3124.8</v>
      </c>
    </row>
    <row r="24" spans="1:17" x14ac:dyDescent="0.3">
      <c r="A24" s="173">
        <v>18</v>
      </c>
      <c r="B24" s="174" t="s">
        <v>24</v>
      </c>
      <c r="C24" s="176">
        <v>6796.4</v>
      </c>
      <c r="D24" s="175">
        <v>6796.4</v>
      </c>
      <c r="E24" s="175">
        <v>6796.4</v>
      </c>
    </row>
    <row r="25" spans="1:17" x14ac:dyDescent="0.3">
      <c r="A25" s="173">
        <v>19</v>
      </c>
      <c r="B25" s="174" t="s">
        <v>25</v>
      </c>
      <c r="C25" s="176">
        <v>14686.6</v>
      </c>
      <c r="D25" s="175">
        <v>14686.6</v>
      </c>
      <c r="E25" s="175">
        <v>14686.6</v>
      </c>
    </row>
    <row r="26" spans="1:17" x14ac:dyDescent="0.3">
      <c r="A26" s="173">
        <v>20</v>
      </c>
      <c r="B26" s="174" t="s">
        <v>26</v>
      </c>
      <c r="C26" s="176">
        <v>3906</v>
      </c>
      <c r="D26" s="175">
        <v>3906</v>
      </c>
      <c r="E26" s="175">
        <v>3906</v>
      </c>
    </row>
    <row r="27" spans="1:17" x14ac:dyDescent="0.3">
      <c r="A27" s="173">
        <v>21</v>
      </c>
      <c r="B27" s="174" t="s">
        <v>27</v>
      </c>
      <c r="C27" s="176">
        <v>16561.400000000001</v>
      </c>
      <c r="D27" s="175">
        <v>16561.400000000001</v>
      </c>
      <c r="E27" s="175">
        <v>16561.400000000001</v>
      </c>
    </row>
    <row r="28" spans="1:17" x14ac:dyDescent="0.3">
      <c r="A28" s="173">
        <v>22</v>
      </c>
      <c r="B28" s="174" t="s">
        <v>28</v>
      </c>
      <c r="C28" s="176">
        <v>3046.7</v>
      </c>
      <c r="D28" s="175">
        <v>3046.7</v>
      </c>
      <c r="E28" s="175">
        <v>3046.7</v>
      </c>
    </row>
    <row r="29" spans="1:17" x14ac:dyDescent="0.3">
      <c r="A29" s="173">
        <v>23</v>
      </c>
      <c r="B29" s="174" t="s">
        <v>29</v>
      </c>
      <c r="C29" s="176">
        <v>9296.2999999999993</v>
      </c>
      <c r="D29" s="175">
        <v>9296.2999999999993</v>
      </c>
      <c r="E29" s="175">
        <v>9296.2999999999993</v>
      </c>
    </row>
    <row r="30" spans="1:17" x14ac:dyDescent="0.3">
      <c r="A30" s="173">
        <v>24</v>
      </c>
      <c r="B30" s="174" t="s">
        <v>30</v>
      </c>
      <c r="C30" s="176">
        <v>29373.1</v>
      </c>
      <c r="D30" s="175">
        <v>29373.1</v>
      </c>
      <c r="E30" s="175">
        <v>29373.1</v>
      </c>
    </row>
    <row r="31" spans="1:17" x14ac:dyDescent="0.3">
      <c r="A31" s="173">
        <v>25</v>
      </c>
      <c r="B31" s="174" t="s">
        <v>31</v>
      </c>
      <c r="C31" s="176">
        <v>8905.7000000000007</v>
      </c>
      <c r="D31" s="175">
        <v>8905.7000000000007</v>
      </c>
      <c r="E31" s="175">
        <v>8905.7000000000007</v>
      </c>
    </row>
    <row r="32" spans="1:17" x14ac:dyDescent="0.3">
      <c r="A32" s="173">
        <v>26</v>
      </c>
      <c r="B32" s="174" t="s">
        <v>32</v>
      </c>
      <c r="C32" s="176">
        <v>5468.4</v>
      </c>
      <c r="D32" s="175">
        <v>5468.4</v>
      </c>
      <c r="E32" s="175">
        <v>5468.4</v>
      </c>
    </row>
    <row r="33" spans="1:5" x14ac:dyDescent="0.3">
      <c r="A33" s="173">
        <v>27</v>
      </c>
      <c r="B33" s="174" t="s">
        <v>33</v>
      </c>
      <c r="C33" s="176">
        <v>5468.4</v>
      </c>
      <c r="D33" s="175">
        <v>5468.4</v>
      </c>
      <c r="E33" s="175">
        <v>5468.4</v>
      </c>
    </row>
    <row r="34" spans="1:5" x14ac:dyDescent="0.3">
      <c r="A34" s="173">
        <v>28</v>
      </c>
      <c r="B34" s="174" t="s">
        <v>34</v>
      </c>
      <c r="C34" s="176">
        <v>38903.800000000003</v>
      </c>
      <c r="D34" s="175">
        <v>38903.800000000003</v>
      </c>
      <c r="E34" s="175">
        <v>38903.800000000003</v>
      </c>
    </row>
    <row r="35" spans="1:5" x14ac:dyDescent="0.3">
      <c r="A35" s="173">
        <v>29</v>
      </c>
      <c r="B35" s="174" t="s">
        <v>35</v>
      </c>
      <c r="C35" s="176">
        <v>6562.1</v>
      </c>
      <c r="D35" s="175">
        <v>6562.1</v>
      </c>
      <c r="E35" s="175">
        <v>6562.1</v>
      </c>
    </row>
    <row r="36" spans="1:5" x14ac:dyDescent="0.3">
      <c r="A36" s="173">
        <v>30</v>
      </c>
      <c r="B36" s="174" t="s">
        <v>36</v>
      </c>
      <c r="C36" s="176">
        <v>12421.1</v>
      </c>
      <c r="D36" s="175">
        <v>12421.1</v>
      </c>
      <c r="E36" s="175">
        <v>12421.1</v>
      </c>
    </row>
    <row r="37" spans="1:5" x14ac:dyDescent="0.3">
      <c r="A37" s="173">
        <v>31</v>
      </c>
      <c r="B37" s="174" t="s">
        <v>37</v>
      </c>
      <c r="C37" s="176">
        <v>8593.2000000000007</v>
      </c>
      <c r="D37" s="175">
        <v>8593.2000000000007</v>
      </c>
      <c r="E37" s="175">
        <v>8593.2000000000007</v>
      </c>
    </row>
    <row r="38" spans="1:5" x14ac:dyDescent="0.3">
      <c r="A38" s="173">
        <v>32</v>
      </c>
      <c r="B38" s="174" t="s">
        <v>38</v>
      </c>
      <c r="C38" s="176">
        <v>2656.1</v>
      </c>
      <c r="D38" s="175">
        <v>2656.1</v>
      </c>
      <c r="E38" s="175">
        <v>2656.1</v>
      </c>
    </row>
    <row r="39" spans="1:5" x14ac:dyDescent="0.3">
      <c r="A39" s="173">
        <v>33</v>
      </c>
      <c r="B39" s="174" t="s">
        <v>39</v>
      </c>
      <c r="C39" s="176">
        <v>6952.7</v>
      </c>
      <c r="D39" s="175">
        <v>6952.7</v>
      </c>
      <c r="E39" s="175">
        <v>6952.7</v>
      </c>
    </row>
    <row r="40" spans="1:5" x14ac:dyDescent="0.3">
      <c r="A40" s="173">
        <v>34</v>
      </c>
      <c r="B40" s="174" t="s">
        <v>40</v>
      </c>
      <c r="C40" s="176">
        <v>7421.4</v>
      </c>
      <c r="D40" s="175">
        <v>7421.4</v>
      </c>
      <c r="E40" s="175">
        <v>7421.4</v>
      </c>
    </row>
    <row r="41" spans="1:5" x14ac:dyDescent="0.3">
      <c r="A41" s="173">
        <v>35</v>
      </c>
      <c r="B41" s="174" t="s">
        <v>41</v>
      </c>
      <c r="C41" s="176">
        <v>5859</v>
      </c>
      <c r="D41" s="175">
        <v>5859</v>
      </c>
      <c r="E41" s="175">
        <v>5859</v>
      </c>
    </row>
    <row r="42" spans="1:5" x14ac:dyDescent="0.3">
      <c r="A42" s="173">
        <v>36</v>
      </c>
      <c r="B42" s="174" t="s">
        <v>42</v>
      </c>
      <c r="C42" s="176">
        <v>5859</v>
      </c>
      <c r="D42" s="175">
        <v>5859</v>
      </c>
      <c r="E42" s="175">
        <v>5859</v>
      </c>
    </row>
    <row r="43" spans="1:5" x14ac:dyDescent="0.3">
      <c r="A43" s="173">
        <v>37</v>
      </c>
      <c r="B43" s="174" t="s">
        <v>43</v>
      </c>
      <c r="C43" s="176">
        <v>13046</v>
      </c>
      <c r="D43" s="175">
        <v>13046</v>
      </c>
      <c r="E43" s="175">
        <v>13046</v>
      </c>
    </row>
    <row r="44" spans="1:5" x14ac:dyDescent="0.3">
      <c r="A44" s="173">
        <v>38</v>
      </c>
      <c r="B44" s="174" t="s">
        <v>44</v>
      </c>
      <c r="C44" s="176">
        <v>13280.4</v>
      </c>
      <c r="D44" s="175">
        <v>13280.4</v>
      </c>
      <c r="E44" s="175">
        <v>13280.4</v>
      </c>
    </row>
    <row r="45" spans="1:5" x14ac:dyDescent="0.3">
      <c r="A45" s="173">
        <v>39</v>
      </c>
      <c r="B45" s="174" t="s">
        <v>45</v>
      </c>
      <c r="C45" s="176">
        <v>10390</v>
      </c>
      <c r="D45" s="175">
        <v>10390</v>
      </c>
      <c r="E45" s="175">
        <v>10390</v>
      </c>
    </row>
    <row r="46" spans="1:5" x14ac:dyDescent="0.3">
      <c r="A46" s="173">
        <v>40</v>
      </c>
      <c r="B46" s="174" t="s">
        <v>46</v>
      </c>
      <c r="C46" s="176">
        <v>4609.1000000000004</v>
      </c>
      <c r="D46" s="175">
        <v>4609.1000000000004</v>
      </c>
      <c r="E46" s="175">
        <v>4609.1000000000004</v>
      </c>
    </row>
    <row r="47" spans="1:5" x14ac:dyDescent="0.3">
      <c r="A47" s="173">
        <v>41</v>
      </c>
      <c r="B47" s="178" t="s">
        <v>355</v>
      </c>
      <c r="C47" s="176">
        <v>4531</v>
      </c>
      <c r="D47" s="175">
        <v>4531</v>
      </c>
      <c r="E47" s="175">
        <v>4531</v>
      </c>
    </row>
    <row r="48" spans="1:5" x14ac:dyDescent="0.3">
      <c r="A48" s="173">
        <v>42</v>
      </c>
      <c r="B48" s="178" t="s">
        <v>356</v>
      </c>
      <c r="C48" s="176">
        <v>937.4</v>
      </c>
      <c r="D48" s="175">
        <v>937.4</v>
      </c>
      <c r="E48" s="175">
        <v>937.4</v>
      </c>
    </row>
    <row r="49" spans="1:5" s="179" customFormat="1" x14ac:dyDescent="0.3">
      <c r="A49" s="541" t="s">
        <v>65</v>
      </c>
      <c r="B49" s="541"/>
      <c r="C49" s="180">
        <f>SUM(C7:C48)</f>
        <v>554261.4</v>
      </c>
      <c r="D49" s="180">
        <f>SUM(D7:D48)</f>
        <v>554261.4</v>
      </c>
      <c r="E49" s="180">
        <f>SUM(E7:E48)</f>
        <v>554261.4</v>
      </c>
    </row>
    <row r="50" spans="1:5" s="179" customFormat="1" x14ac:dyDescent="0.3">
      <c r="A50" s="530" t="s">
        <v>361</v>
      </c>
      <c r="B50" s="530"/>
      <c r="C50" s="180">
        <v>2734.2</v>
      </c>
      <c r="D50" s="180">
        <v>2734.2</v>
      </c>
      <c r="E50" s="180">
        <v>2734.2</v>
      </c>
    </row>
    <row r="51" spans="1:5" s="179" customFormat="1" x14ac:dyDescent="0.3">
      <c r="A51" s="527" t="s">
        <v>391</v>
      </c>
      <c r="B51" s="527"/>
      <c r="C51" s="180">
        <f>C49+C50</f>
        <v>556995.6</v>
      </c>
      <c r="D51" s="180">
        <f>D49+D50</f>
        <v>556995.6</v>
      </c>
      <c r="E51" s="180">
        <f>E49+E50</f>
        <v>556995.6</v>
      </c>
    </row>
  </sheetData>
  <mergeCells count="10">
    <mergeCell ref="A1:E1"/>
    <mergeCell ref="A51:B51"/>
    <mergeCell ref="A2:E2"/>
    <mergeCell ref="C3:E3"/>
    <mergeCell ref="C4:C5"/>
    <mergeCell ref="A3:A5"/>
    <mergeCell ref="B3:B5"/>
    <mergeCell ref="D4:E4"/>
    <mergeCell ref="A50:B50"/>
    <mergeCell ref="A49:B49"/>
  </mergeCells>
  <printOptions horizontalCentered="1"/>
  <pageMargins left="0.59055118110236227" right="0.39370078740157483" top="0.39370078740157483" bottom="0.39370078740157483" header="0" footer="0"/>
  <pageSetup paperSize="9" scale="76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69"/>
  <sheetViews>
    <sheetView view="pageBreakPreview" zoomScaleNormal="100" zoomScaleSheetLayoutView="100" workbookViewId="0">
      <selection activeCell="J9" sqref="J9"/>
    </sheetView>
  </sheetViews>
  <sheetFormatPr defaultRowHeight="18" x14ac:dyDescent="0.25"/>
  <cols>
    <col min="1" max="1" width="7.140625" style="61" customWidth="1"/>
    <col min="2" max="2" width="54.42578125" style="61" customWidth="1"/>
    <col min="3" max="5" width="13.7109375" style="61" customWidth="1"/>
    <col min="6" max="256" width="9.140625" style="61"/>
    <col min="257" max="257" width="7.140625" style="61" customWidth="1"/>
    <col min="258" max="258" width="42.5703125" style="61" customWidth="1"/>
    <col min="259" max="261" width="13.7109375" style="61" customWidth="1"/>
    <col min="262" max="512" width="9.140625" style="61"/>
    <col min="513" max="513" width="7.140625" style="61" customWidth="1"/>
    <col min="514" max="514" width="42.5703125" style="61" customWidth="1"/>
    <col min="515" max="517" width="13.7109375" style="61" customWidth="1"/>
    <col min="518" max="768" width="9.140625" style="61"/>
    <col min="769" max="769" width="7.140625" style="61" customWidth="1"/>
    <col min="770" max="770" width="42.5703125" style="61" customWidth="1"/>
    <col min="771" max="773" width="13.7109375" style="61" customWidth="1"/>
    <col min="774" max="1024" width="9.140625" style="61"/>
    <col min="1025" max="1025" width="7.140625" style="61" customWidth="1"/>
    <col min="1026" max="1026" width="42.5703125" style="61" customWidth="1"/>
    <col min="1027" max="1029" width="13.7109375" style="61" customWidth="1"/>
    <col min="1030" max="1280" width="9.140625" style="61"/>
    <col min="1281" max="1281" width="7.140625" style="61" customWidth="1"/>
    <col min="1282" max="1282" width="42.5703125" style="61" customWidth="1"/>
    <col min="1283" max="1285" width="13.7109375" style="61" customWidth="1"/>
    <col min="1286" max="1536" width="9.140625" style="61"/>
    <col min="1537" max="1537" width="7.140625" style="61" customWidth="1"/>
    <col min="1538" max="1538" width="42.5703125" style="61" customWidth="1"/>
    <col min="1539" max="1541" width="13.7109375" style="61" customWidth="1"/>
    <col min="1542" max="1792" width="9.140625" style="61"/>
    <col min="1793" max="1793" width="7.140625" style="61" customWidth="1"/>
    <col min="1794" max="1794" width="42.5703125" style="61" customWidth="1"/>
    <col min="1795" max="1797" width="13.7109375" style="61" customWidth="1"/>
    <col min="1798" max="2048" width="9.140625" style="61"/>
    <col min="2049" max="2049" width="7.140625" style="61" customWidth="1"/>
    <col min="2050" max="2050" width="42.5703125" style="61" customWidth="1"/>
    <col min="2051" max="2053" width="13.7109375" style="61" customWidth="1"/>
    <col min="2054" max="2304" width="9.140625" style="61"/>
    <col min="2305" max="2305" width="7.140625" style="61" customWidth="1"/>
    <col min="2306" max="2306" width="42.5703125" style="61" customWidth="1"/>
    <col min="2307" max="2309" width="13.7109375" style="61" customWidth="1"/>
    <col min="2310" max="2560" width="9.140625" style="61"/>
    <col min="2561" max="2561" width="7.140625" style="61" customWidth="1"/>
    <col min="2562" max="2562" width="42.5703125" style="61" customWidth="1"/>
    <col min="2563" max="2565" width="13.7109375" style="61" customWidth="1"/>
    <col min="2566" max="2816" width="9.140625" style="61"/>
    <col min="2817" max="2817" width="7.140625" style="61" customWidth="1"/>
    <col min="2818" max="2818" width="42.5703125" style="61" customWidth="1"/>
    <col min="2819" max="2821" width="13.7109375" style="61" customWidth="1"/>
    <col min="2822" max="3072" width="9.140625" style="61"/>
    <col min="3073" max="3073" width="7.140625" style="61" customWidth="1"/>
    <col min="3074" max="3074" width="42.5703125" style="61" customWidth="1"/>
    <col min="3075" max="3077" width="13.7109375" style="61" customWidth="1"/>
    <col min="3078" max="3328" width="9.140625" style="61"/>
    <col min="3329" max="3329" width="7.140625" style="61" customWidth="1"/>
    <col min="3330" max="3330" width="42.5703125" style="61" customWidth="1"/>
    <col min="3331" max="3333" width="13.7109375" style="61" customWidth="1"/>
    <col min="3334" max="3584" width="9.140625" style="61"/>
    <col min="3585" max="3585" width="7.140625" style="61" customWidth="1"/>
    <col min="3586" max="3586" width="42.5703125" style="61" customWidth="1"/>
    <col min="3587" max="3589" width="13.7109375" style="61" customWidth="1"/>
    <col min="3590" max="3840" width="9.140625" style="61"/>
    <col min="3841" max="3841" width="7.140625" style="61" customWidth="1"/>
    <col min="3842" max="3842" width="42.5703125" style="61" customWidth="1"/>
    <col min="3843" max="3845" width="13.7109375" style="61" customWidth="1"/>
    <col min="3846" max="4096" width="9.140625" style="61"/>
    <col min="4097" max="4097" width="7.140625" style="61" customWidth="1"/>
    <col min="4098" max="4098" width="42.5703125" style="61" customWidth="1"/>
    <col min="4099" max="4101" width="13.7109375" style="61" customWidth="1"/>
    <col min="4102" max="4352" width="9.140625" style="61"/>
    <col min="4353" max="4353" width="7.140625" style="61" customWidth="1"/>
    <col min="4354" max="4354" width="42.5703125" style="61" customWidth="1"/>
    <col min="4355" max="4357" width="13.7109375" style="61" customWidth="1"/>
    <col min="4358" max="4608" width="9.140625" style="61"/>
    <col min="4609" max="4609" width="7.140625" style="61" customWidth="1"/>
    <col min="4610" max="4610" width="42.5703125" style="61" customWidth="1"/>
    <col min="4611" max="4613" width="13.7109375" style="61" customWidth="1"/>
    <col min="4614" max="4864" width="9.140625" style="61"/>
    <col min="4865" max="4865" width="7.140625" style="61" customWidth="1"/>
    <col min="4866" max="4866" width="42.5703125" style="61" customWidth="1"/>
    <col min="4867" max="4869" width="13.7109375" style="61" customWidth="1"/>
    <col min="4870" max="5120" width="9.140625" style="61"/>
    <col min="5121" max="5121" width="7.140625" style="61" customWidth="1"/>
    <col min="5122" max="5122" width="42.5703125" style="61" customWidth="1"/>
    <col min="5123" max="5125" width="13.7109375" style="61" customWidth="1"/>
    <col min="5126" max="5376" width="9.140625" style="61"/>
    <col min="5377" max="5377" width="7.140625" style="61" customWidth="1"/>
    <col min="5378" max="5378" width="42.5703125" style="61" customWidth="1"/>
    <col min="5379" max="5381" width="13.7109375" style="61" customWidth="1"/>
    <col min="5382" max="5632" width="9.140625" style="61"/>
    <col min="5633" max="5633" width="7.140625" style="61" customWidth="1"/>
    <col min="5634" max="5634" width="42.5703125" style="61" customWidth="1"/>
    <col min="5635" max="5637" width="13.7109375" style="61" customWidth="1"/>
    <col min="5638" max="5888" width="9.140625" style="61"/>
    <col min="5889" max="5889" width="7.140625" style="61" customWidth="1"/>
    <col min="5890" max="5890" width="42.5703125" style="61" customWidth="1"/>
    <col min="5891" max="5893" width="13.7109375" style="61" customWidth="1"/>
    <col min="5894" max="6144" width="9.140625" style="61"/>
    <col min="6145" max="6145" width="7.140625" style="61" customWidth="1"/>
    <col min="6146" max="6146" width="42.5703125" style="61" customWidth="1"/>
    <col min="6147" max="6149" width="13.7109375" style="61" customWidth="1"/>
    <col min="6150" max="6400" width="9.140625" style="61"/>
    <col min="6401" max="6401" width="7.140625" style="61" customWidth="1"/>
    <col min="6402" max="6402" width="42.5703125" style="61" customWidth="1"/>
    <col min="6403" max="6405" width="13.7109375" style="61" customWidth="1"/>
    <col min="6406" max="6656" width="9.140625" style="61"/>
    <col min="6657" max="6657" width="7.140625" style="61" customWidth="1"/>
    <col min="6658" max="6658" width="42.5703125" style="61" customWidth="1"/>
    <col min="6659" max="6661" width="13.7109375" style="61" customWidth="1"/>
    <col min="6662" max="6912" width="9.140625" style="61"/>
    <col min="6913" max="6913" width="7.140625" style="61" customWidth="1"/>
    <col min="6914" max="6914" width="42.5703125" style="61" customWidth="1"/>
    <col min="6915" max="6917" width="13.7109375" style="61" customWidth="1"/>
    <col min="6918" max="7168" width="9.140625" style="61"/>
    <col min="7169" max="7169" width="7.140625" style="61" customWidth="1"/>
    <col min="7170" max="7170" width="42.5703125" style="61" customWidth="1"/>
    <col min="7171" max="7173" width="13.7109375" style="61" customWidth="1"/>
    <col min="7174" max="7424" width="9.140625" style="61"/>
    <col min="7425" max="7425" width="7.140625" style="61" customWidth="1"/>
    <col min="7426" max="7426" width="42.5703125" style="61" customWidth="1"/>
    <col min="7427" max="7429" width="13.7109375" style="61" customWidth="1"/>
    <col min="7430" max="7680" width="9.140625" style="61"/>
    <col min="7681" max="7681" width="7.140625" style="61" customWidth="1"/>
    <col min="7682" max="7682" width="42.5703125" style="61" customWidth="1"/>
    <col min="7683" max="7685" width="13.7109375" style="61" customWidth="1"/>
    <col min="7686" max="7936" width="9.140625" style="61"/>
    <col min="7937" max="7937" width="7.140625" style="61" customWidth="1"/>
    <col min="7938" max="7938" width="42.5703125" style="61" customWidth="1"/>
    <col min="7939" max="7941" width="13.7109375" style="61" customWidth="1"/>
    <col min="7942" max="8192" width="9.140625" style="61"/>
    <col min="8193" max="8193" width="7.140625" style="61" customWidth="1"/>
    <col min="8194" max="8194" width="42.5703125" style="61" customWidth="1"/>
    <col min="8195" max="8197" width="13.7109375" style="61" customWidth="1"/>
    <col min="8198" max="8448" width="9.140625" style="61"/>
    <col min="8449" max="8449" width="7.140625" style="61" customWidth="1"/>
    <col min="8450" max="8450" width="42.5703125" style="61" customWidth="1"/>
    <col min="8451" max="8453" width="13.7109375" style="61" customWidth="1"/>
    <col min="8454" max="8704" width="9.140625" style="61"/>
    <col min="8705" max="8705" width="7.140625" style="61" customWidth="1"/>
    <col min="8706" max="8706" width="42.5703125" style="61" customWidth="1"/>
    <col min="8707" max="8709" width="13.7109375" style="61" customWidth="1"/>
    <col min="8710" max="8960" width="9.140625" style="61"/>
    <col min="8961" max="8961" width="7.140625" style="61" customWidth="1"/>
    <col min="8962" max="8962" width="42.5703125" style="61" customWidth="1"/>
    <col min="8963" max="8965" width="13.7109375" style="61" customWidth="1"/>
    <col min="8966" max="9216" width="9.140625" style="61"/>
    <col min="9217" max="9217" width="7.140625" style="61" customWidth="1"/>
    <col min="9218" max="9218" width="42.5703125" style="61" customWidth="1"/>
    <col min="9219" max="9221" width="13.7109375" style="61" customWidth="1"/>
    <col min="9222" max="9472" width="9.140625" style="61"/>
    <col min="9473" max="9473" width="7.140625" style="61" customWidth="1"/>
    <col min="9474" max="9474" width="42.5703125" style="61" customWidth="1"/>
    <col min="9475" max="9477" width="13.7109375" style="61" customWidth="1"/>
    <col min="9478" max="9728" width="9.140625" style="61"/>
    <col min="9729" max="9729" width="7.140625" style="61" customWidth="1"/>
    <col min="9730" max="9730" width="42.5703125" style="61" customWidth="1"/>
    <col min="9731" max="9733" width="13.7109375" style="61" customWidth="1"/>
    <col min="9734" max="9984" width="9.140625" style="61"/>
    <col min="9985" max="9985" width="7.140625" style="61" customWidth="1"/>
    <col min="9986" max="9986" width="42.5703125" style="61" customWidth="1"/>
    <col min="9987" max="9989" width="13.7109375" style="61" customWidth="1"/>
    <col min="9990" max="10240" width="9.140625" style="61"/>
    <col min="10241" max="10241" width="7.140625" style="61" customWidth="1"/>
    <col min="10242" max="10242" width="42.5703125" style="61" customWidth="1"/>
    <col min="10243" max="10245" width="13.7109375" style="61" customWidth="1"/>
    <col min="10246" max="10496" width="9.140625" style="61"/>
    <col min="10497" max="10497" width="7.140625" style="61" customWidth="1"/>
    <col min="10498" max="10498" width="42.5703125" style="61" customWidth="1"/>
    <col min="10499" max="10501" width="13.7109375" style="61" customWidth="1"/>
    <col min="10502" max="10752" width="9.140625" style="61"/>
    <col min="10753" max="10753" width="7.140625" style="61" customWidth="1"/>
    <col min="10754" max="10754" width="42.5703125" style="61" customWidth="1"/>
    <col min="10755" max="10757" width="13.7109375" style="61" customWidth="1"/>
    <col min="10758" max="11008" width="9.140625" style="61"/>
    <col min="11009" max="11009" width="7.140625" style="61" customWidth="1"/>
    <col min="11010" max="11010" width="42.5703125" style="61" customWidth="1"/>
    <col min="11011" max="11013" width="13.7109375" style="61" customWidth="1"/>
    <col min="11014" max="11264" width="9.140625" style="61"/>
    <col min="11265" max="11265" width="7.140625" style="61" customWidth="1"/>
    <col min="11266" max="11266" width="42.5703125" style="61" customWidth="1"/>
    <col min="11267" max="11269" width="13.7109375" style="61" customWidth="1"/>
    <col min="11270" max="11520" width="9.140625" style="61"/>
    <col min="11521" max="11521" width="7.140625" style="61" customWidth="1"/>
    <col min="11522" max="11522" width="42.5703125" style="61" customWidth="1"/>
    <col min="11523" max="11525" width="13.7109375" style="61" customWidth="1"/>
    <col min="11526" max="11776" width="9.140625" style="61"/>
    <col min="11777" max="11777" width="7.140625" style="61" customWidth="1"/>
    <col min="11778" max="11778" width="42.5703125" style="61" customWidth="1"/>
    <col min="11779" max="11781" width="13.7109375" style="61" customWidth="1"/>
    <col min="11782" max="12032" width="9.140625" style="61"/>
    <col min="12033" max="12033" width="7.140625" style="61" customWidth="1"/>
    <col min="12034" max="12034" width="42.5703125" style="61" customWidth="1"/>
    <col min="12035" max="12037" width="13.7109375" style="61" customWidth="1"/>
    <col min="12038" max="12288" width="9.140625" style="61"/>
    <col min="12289" max="12289" width="7.140625" style="61" customWidth="1"/>
    <col min="12290" max="12290" width="42.5703125" style="61" customWidth="1"/>
    <col min="12291" max="12293" width="13.7109375" style="61" customWidth="1"/>
    <col min="12294" max="12544" width="9.140625" style="61"/>
    <col min="12545" max="12545" width="7.140625" style="61" customWidth="1"/>
    <col min="12546" max="12546" width="42.5703125" style="61" customWidth="1"/>
    <col min="12547" max="12549" width="13.7109375" style="61" customWidth="1"/>
    <col min="12550" max="12800" width="9.140625" style="61"/>
    <col min="12801" max="12801" width="7.140625" style="61" customWidth="1"/>
    <col min="12802" max="12802" width="42.5703125" style="61" customWidth="1"/>
    <col min="12803" max="12805" width="13.7109375" style="61" customWidth="1"/>
    <col min="12806" max="13056" width="9.140625" style="61"/>
    <col min="13057" max="13057" width="7.140625" style="61" customWidth="1"/>
    <col min="13058" max="13058" width="42.5703125" style="61" customWidth="1"/>
    <col min="13059" max="13061" width="13.7109375" style="61" customWidth="1"/>
    <col min="13062" max="13312" width="9.140625" style="61"/>
    <col min="13313" max="13313" width="7.140625" style="61" customWidth="1"/>
    <col min="13314" max="13314" width="42.5703125" style="61" customWidth="1"/>
    <col min="13315" max="13317" width="13.7109375" style="61" customWidth="1"/>
    <col min="13318" max="13568" width="9.140625" style="61"/>
    <col min="13569" max="13569" width="7.140625" style="61" customWidth="1"/>
    <col min="13570" max="13570" width="42.5703125" style="61" customWidth="1"/>
    <col min="13571" max="13573" width="13.7109375" style="61" customWidth="1"/>
    <col min="13574" max="13824" width="9.140625" style="61"/>
    <col min="13825" max="13825" width="7.140625" style="61" customWidth="1"/>
    <col min="13826" max="13826" width="42.5703125" style="61" customWidth="1"/>
    <col min="13827" max="13829" width="13.7109375" style="61" customWidth="1"/>
    <col min="13830" max="14080" width="9.140625" style="61"/>
    <col min="14081" max="14081" width="7.140625" style="61" customWidth="1"/>
    <col min="14082" max="14082" width="42.5703125" style="61" customWidth="1"/>
    <col min="14083" max="14085" width="13.7109375" style="61" customWidth="1"/>
    <col min="14086" max="14336" width="9.140625" style="61"/>
    <col min="14337" max="14337" width="7.140625" style="61" customWidth="1"/>
    <col min="14338" max="14338" width="42.5703125" style="61" customWidth="1"/>
    <col min="14339" max="14341" width="13.7109375" style="61" customWidth="1"/>
    <col min="14342" max="14592" width="9.140625" style="61"/>
    <col min="14593" max="14593" width="7.140625" style="61" customWidth="1"/>
    <col min="14594" max="14594" width="42.5703125" style="61" customWidth="1"/>
    <col min="14595" max="14597" width="13.7109375" style="61" customWidth="1"/>
    <col min="14598" max="14848" width="9.140625" style="61"/>
    <col min="14849" max="14849" width="7.140625" style="61" customWidth="1"/>
    <col min="14850" max="14850" width="42.5703125" style="61" customWidth="1"/>
    <col min="14851" max="14853" width="13.7109375" style="61" customWidth="1"/>
    <col min="14854" max="15104" width="9.140625" style="61"/>
    <col min="15105" max="15105" width="7.140625" style="61" customWidth="1"/>
    <col min="15106" max="15106" width="42.5703125" style="61" customWidth="1"/>
    <col min="15107" max="15109" width="13.7109375" style="61" customWidth="1"/>
    <col min="15110" max="15360" width="9.140625" style="61"/>
    <col min="15361" max="15361" width="7.140625" style="61" customWidth="1"/>
    <col min="15362" max="15362" width="42.5703125" style="61" customWidth="1"/>
    <col min="15363" max="15365" width="13.7109375" style="61" customWidth="1"/>
    <col min="15366" max="15616" width="9.140625" style="61"/>
    <col min="15617" max="15617" width="7.140625" style="61" customWidth="1"/>
    <col min="15618" max="15618" width="42.5703125" style="61" customWidth="1"/>
    <col min="15619" max="15621" width="13.7109375" style="61" customWidth="1"/>
    <col min="15622" max="15872" width="9.140625" style="61"/>
    <col min="15873" max="15873" width="7.140625" style="61" customWidth="1"/>
    <col min="15874" max="15874" width="42.5703125" style="61" customWidth="1"/>
    <col min="15875" max="15877" width="13.7109375" style="61" customWidth="1"/>
    <col min="15878" max="16128" width="9.140625" style="61"/>
    <col min="16129" max="16129" width="7.140625" style="61" customWidth="1"/>
    <col min="16130" max="16130" width="42.5703125" style="61" customWidth="1"/>
    <col min="16131" max="16133" width="13.7109375" style="61" customWidth="1"/>
    <col min="16134" max="16384" width="9.140625" style="61"/>
  </cols>
  <sheetData>
    <row r="1" spans="1:5" ht="18.75" x14ac:dyDescent="0.25">
      <c r="A1" s="500" t="s">
        <v>344</v>
      </c>
      <c r="B1" s="500"/>
      <c r="C1" s="500"/>
      <c r="D1" s="500"/>
      <c r="E1" s="500"/>
    </row>
    <row r="2" spans="1:5" ht="78.75" customHeight="1" x14ac:dyDescent="0.25">
      <c r="A2" s="501" t="s">
        <v>392</v>
      </c>
      <c r="B2" s="501"/>
      <c r="C2" s="501"/>
      <c r="D2" s="501"/>
      <c r="E2" s="501"/>
    </row>
    <row r="3" spans="1:5" ht="18.75" x14ac:dyDescent="0.25">
      <c r="A3" s="502" t="s">
        <v>51</v>
      </c>
      <c r="B3" s="502" t="s">
        <v>52</v>
      </c>
      <c r="C3" s="502" t="s">
        <v>2</v>
      </c>
      <c r="D3" s="502"/>
      <c r="E3" s="502"/>
    </row>
    <row r="4" spans="1:5" ht="18.75" x14ac:dyDescent="0.25">
      <c r="A4" s="502"/>
      <c r="B4" s="502"/>
      <c r="C4" s="504" t="s">
        <v>3</v>
      </c>
      <c r="D4" s="506" t="s">
        <v>4</v>
      </c>
      <c r="E4" s="507"/>
    </row>
    <row r="5" spans="1:5" ht="18.75" x14ac:dyDescent="0.25">
      <c r="A5" s="502" t="s">
        <v>51</v>
      </c>
      <c r="B5" s="503" t="s">
        <v>52</v>
      </c>
      <c r="C5" s="505"/>
      <c r="D5" s="313" t="s">
        <v>5</v>
      </c>
      <c r="E5" s="313" t="s">
        <v>6</v>
      </c>
    </row>
    <row r="6" spans="1:5" ht="18.75" x14ac:dyDescent="0.25">
      <c r="A6" s="314" t="s">
        <v>53</v>
      </c>
      <c r="B6" s="315" t="s">
        <v>54</v>
      </c>
      <c r="C6" s="315" t="s">
        <v>55</v>
      </c>
      <c r="D6" s="315">
        <v>4</v>
      </c>
      <c r="E6" s="315">
        <v>5</v>
      </c>
    </row>
    <row r="7" spans="1:5" ht="18.75" x14ac:dyDescent="0.25">
      <c r="A7" s="313">
        <v>1</v>
      </c>
      <c r="B7" s="316" t="s">
        <v>7</v>
      </c>
      <c r="C7" s="323">
        <v>668.1</v>
      </c>
      <c r="D7" s="323">
        <v>674.5</v>
      </c>
      <c r="E7" s="323">
        <v>681.1</v>
      </c>
    </row>
    <row r="8" spans="1:5" ht="18.75" x14ac:dyDescent="0.25">
      <c r="A8" s="313">
        <v>2</v>
      </c>
      <c r="B8" s="316" t="s">
        <v>8</v>
      </c>
      <c r="C8" s="323">
        <v>679.4</v>
      </c>
      <c r="D8" s="323">
        <v>685.8</v>
      </c>
      <c r="E8" s="323">
        <v>692.4</v>
      </c>
    </row>
    <row r="9" spans="1:5" ht="18.75" x14ac:dyDescent="0.25">
      <c r="A9" s="313">
        <f>A8+1</f>
        <v>3</v>
      </c>
      <c r="B9" s="316" t="s">
        <v>9</v>
      </c>
      <c r="C9" s="323">
        <v>2936.6</v>
      </c>
      <c r="D9" s="323">
        <v>2962</v>
      </c>
      <c r="E9" s="323">
        <v>2988.6</v>
      </c>
    </row>
    <row r="10" spans="1:5" ht="18.75" x14ac:dyDescent="0.25">
      <c r="A10" s="313">
        <f>A9+1</f>
        <v>4</v>
      </c>
      <c r="B10" s="316" t="s">
        <v>10</v>
      </c>
      <c r="C10" s="323">
        <v>668.1</v>
      </c>
      <c r="D10" s="323">
        <v>674.5</v>
      </c>
      <c r="E10" s="323">
        <v>681.1</v>
      </c>
    </row>
    <row r="11" spans="1:5" ht="18.75" x14ac:dyDescent="0.25">
      <c r="A11" s="313">
        <v>3</v>
      </c>
      <c r="B11" s="316" t="s">
        <v>11</v>
      </c>
      <c r="C11" s="323">
        <v>679.4</v>
      </c>
      <c r="D11" s="323">
        <v>685.8</v>
      </c>
      <c r="E11" s="323">
        <v>692.4</v>
      </c>
    </row>
    <row r="12" spans="1:5" ht="18.75" x14ac:dyDescent="0.25">
      <c r="A12" s="313">
        <v>4</v>
      </c>
      <c r="B12" s="317" t="s">
        <v>12</v>
      </c>
      <c r="C12" s="323">
        <v>338.2</v>
      </c>
      <c r="D12" s="323">
        <v>341.4</v>
      </c>
      <c r="E12" s="323">
        <v>344.7</v>
      </c>
    </row>
    <row r="13" spans="1:5" ht="18.75" x14ac:dyDescent="0.25">
      <c r="A13" s="313">
        <f>A12+1</f>
        <v>5</v>
      </c>
      <c r="B13" s="317" t="s">
        <v>13</v>
      </c>
      <c r="C13" s="323">
        <v>338.2</v>
      </c>
      <c r="D13" s="323">
        <v>341.4</v>
      </c>
      <c r="E13" s="323">
        <v>344.7</v>
      </c>
    </row>
    <row r="14" spans="1:5" ht="18.75" x14ac:dyDescent="0.25">
      <c r="A14" s="313">
        <v>6</v>
      </c>
      <c r="B14" s="318" t="s">
        <v>14</v>
      </c>
      <c r="C14" s="323">
        <v>338.2</v>
      </c>
      <c r="D14" s="323">
        <v>341.4</v>
      </c>
      <c r="E14" s="323">
        <v>344.7</v>
      </c>
    </row>
    <row r="15" spans="1:5" ht="18.75" x14ac:dyDescent="0.25">
      <c r="A15" s="313">
        <v>7</v>
      </c>
      <c r="B15" s="316" t="s">
        <v>15</v>
      </c>
      <c r="C15" s="323">
        <v>385.1</v>
      </c>
      <c r="D15" s="323">
        <v>388.3</v>
      </c>
      <c r="E15" s="323">
        <v>391.6</v>
      </c>
    </row>
    <row r="16" spans="1:5" ht="18.75" x14ac:dyDescent="0.25">
      <c r="A16" s="313">
        <v>8</v>
      </c>
      <c r="B16" s="316" t="s">
        <v>16</v>
      </c>
      <c r="C16" s="323">
        <v>338.2</v>
      </c>
      <c r="D16" s="323">
        <v>341.4</v>
      </c>
      <c r="E16" s="323">
        <v>344.7</v>
      </c>
    </row>
    <row r="17" spans="1:17" ht="18.75" x14ac:dyDescent="0.25">
      <c r="A17" s="313">
        <f>A16+1</f>
        <v>9</v>
      </c>
      <c r="B17" s="316" t="s">
        <v>17</v>
      </c>
      <c r="C17" s="323">
        <v>338.2</v>
      </c>
      <c r="D17" s="323">
        <v>341.4</v>
      </c>
      <c r="E17" s="323">
        <v>344.7</v>
      </c>
    </row>
    <row r="18" spans="1:17" ht="18.75" x14ac:dyDescent="0.25">
      <c r="A18" s="313">
        <v>10</v>
      </c>
      <c r="B18" s="316" t="s">
        <v>18</v>
      </c>
      <c r="C18" s="323">
        <v>338.2</v>
      </c>
      <c r="D18" s="323">
        <v>341.4</v>
      </c>
      <c r="E18" s="323">
        <v>344.7</v>
      </c>
    </row>
    <row r="19" spans="1:17" ht="18.75" x14ac:dyDescent="0.25">
      <c r="A19" s="313">
        <v>11</v>
      </c>
      <c r="B19" s="316" t="s">
        <v>19</v>
      </c>
      <c r="C19" s="323">
        <v>338.2</v>
      </c>
      <c r="D19" s="323">
        <v>341.4</v>
      </c>
      <c r="E19" s="323">
        <v>344.7</v>
      </c>
      <c r="Q19" s="212"/>
    </row>
    <row r="20" spans="1:17" ht="18.75" x14ac:dyDescent="0.25">
      <c r="A20" s="313">
        <v>12</v>
      </c>
      <c r="B20" s="316" t="s">
        <v>20</v>
      </c>
      <c r="C20" s="323">
        <v>306.5</v>
      </c>
      <c r="D20" s="323">
        <v>309.60000000000002</v>
      </c>
      <c r="E20" s="323">
        <v>313</v>
      </c>
    </row>
    <row r="21" spans="1:17" ht="18.75" x14ac:dyDescent="0.25">
      <c r="A21" s="313">
        <f>A20+1</f>
        <v>13</v>
      </c>
      <c r="B21" s="316" t="s">
        <v>57</v>
      </c>
      <c r="C21" s="323">
        <v>338.2</v>
      </c>
      <c r="D21" s="323">
        <v>341.4</v>
      </c>
      <c r="E21" s="323">
        <v>344.7</v>
      </c>
    </row>
    <row r="22" spans="1:17" ht="18.75" x14ac:dyDescent="0.25">
      <c r="A22" s="313">
        <v>14</v>
      </c>
      <c r="B22" s="316" t="s">
        <v>67</v>
      </c>
      <c r="C22" s="323">
        <v>338.2</v>
      </c>
      <c r="D22" s="323">
        <v>341.4</v>
      </c>
      <c r="E22" s="323">
        <v>344.7</v>
      </c>
    </row>
    <row r="23" spans="1:17" ht="18.75" x14ac:dyDescent="0.25">
      <c r="A23" s="313">
        <v>15</v>
      </c>
      <c r="B23" s="316" t="s">
        <v>68</v>
      </c>
      <c r="C23" s="323">
        <v>306.5</v>
      </c>
      <c r="D23" s="323">
        <v>309.60000000000002</v>
      </c>
      <c r="E23" s="323">
        <v>313</v>
      </c>
    </row>
    <row r="24" spans="1:17" ht="18.75" x14ac:dyDescent="0.25">
      <c r="A24" s="313">
        <f>A23+1</f>
        <v>16</v>
      </c>
      <c r="B24" s="316" t="s">
        <v>69</v>
      </c>
      <c r="C24" s="323">
        <v>338.2</v>
      </c>
      <c r="D24" s="323">
        <v>341.4</v>
      </c>
      <c r="E24" s="323">
        <v>344.7</v>
      </c>
    </row>
    <row r="25" spans="1:17" ht="18.75" x14ac:dyDescent="0.25">
      <c r="A25" s="313">
        <v>17</v>
      </c>
      <c r="B25" s="316" t="s">
        <v>25</v>
      </c>
      <c r="C25" s="323">
        <v>385.1</v>
      </c>
      <c r="D25" s="323">
        <v>388.3</v>
      </c>
      <c r="E25" s="323">
        <v>391.6</v>
      </c>
    </row>
    <row r="26" spans="1:17" ht="18.75" x14ac:dyDescent="0.25">
      <c r="A26" s="313">
        <v>18</v>
      </c>
      <c r="B26" s="316" t="s">
        <v>26</v>
      </c>
      <c r="C26" s="323">
        <v>306.5</v>
      </c>
      <c r="D26" s="323">
        <v>309.60000000000002</v>
      </c>
      <c r="E26" s="323">
        <v>313</v>
      </c>
    </row>
    <row r="27" spans="1:17" ht="18.75" x14ac:dyDescent="0.25">
      <c r="A27" s="313">
        <v>19</v>
      </c>
      <c r="B27" s="316" t="s">
        <v>27</v>
      </c>
      <c r="C27" s="323">
        <v>385.1</v>
      </c>
      <c r="D27" s="323">
        <v>388.3</v>
      </c>
      <c r="E27" s="323">
        <v>391.6</v>
      </c>
    </row>
    <row r="28" spans="1:17" ht="18.75" x14ac:dyDescent="0.25">
      <c r="A28" s="313">
        <f>A27+1</f>
        <v>20</v>
      </c>
      <c r="B28" s="316" t="s">
        <v>28</v>
      </c>
      <c r="C28" s="323">
        <v>306.5</v>
      </c>
      <c r="D28" s="323">
        <v>309.60000000000002</v>
      </c>
      <c r="E28" s="323">
        <v>313</v>
      </c>
    </row>
    <row r="29" spans="1:17" ht="18.75" x14ac:dyDescent="0.25">
      <c r="A29" s="313">
        <v>21</v>
      </c>
      <c r="B29" s="316" t="s">
        <v>29</v>
      </c>
      <c r="C29" s="323">
        <v>338.2</v>
      </c>
      <c r="D29" s="323">
        <v>341.4</v>
      </c>
      <c r="E29" s="323">
        <v>344.7</v>
      </c>
    </row>
    <row r="30" spans="1:17" ht="18.75" x14ac:dyDescent="0.25">
      <c r="A30" s="313">
        <v>22</v>
      </c>
      <c r="B30" s="316" t="s">
        <v>30</v>
      </c>
      <c r="C30" s="323">
        <v>668.1</v>
      </c>
      <c r="D30" s="323">
        <v>674.5</v>
      </c>
      <c r="E30" s="323">
        <v>681.1</v>
      </c>
    </row>
    <row r="31" spans="1:17" ht="18.75" x14ac:dyDescent="0.25">
      <c r="A31" s="313">
        <f>A30+1</f>
        <v>23</v>
      </c>
      <c r="B31" s="316" t="s">
        <v>31</v>
      </c>
      <c r="C31" s="323">
        <v>338.2</v>
      </c>
      <c r="D31" s="323">
        <v>341.4</v>
      </c>
      <c r="E31" s="323">
        <v>344.7</v>
      </c>
    </row>
    <row r="32" spans="1:17" ht="18.75" x14ac:dyDescent="0.25">
      <c r="A32" s="313">
        <f>A31+1</f>
        <v>24</v>
      </c>
      <c r="B32" s="316" t="s">
        <v>32</v>
      </c>
      <c r="C32" s="323">
        <v>338.2</v>
      </c>
      <c r="D32" s="323">
        <v>341.4</v>
      </c>
      <c r="E32" s="323">
        <v>344.7</v>
      </c>
    </row>
    <row r="33" spans="1:5" ht="18.75" x14ac:dyDescent="0.25">
      <c r="A33" s="313">
        <v>25</v>
      </c>
      <c r="B33" s="316" t="s">
        <v>33</v>
      </c>
      <c r="C33" s="323">
        <v>338.2</v>
      </c>
      <c r="D33" s="323">
        <v>341.4</v>
      </c>
      <c r="E33" s="323">
        <v>344.7</v>
      </c>
    </row>
    <row r="34" spans="1:5" ht="18.75" x14ac:dyDescent="0.25">
      <c r="A34" s="313">
        <v>26</v>
      </c>
      <c r="B34" s="316" t="s">
        <v>34</v>
      </c>
      <c r="C34" s="323">
        <v>679.4</v>
      </c>
      <c r="D34" s="323">
        <v>685.8</v>
      </c>
      <c r="E34" s="323">
        <v>692.4</v>
      </c>
    </row>
    <row r="35" spans="1:5" ht="18.75" x14ac:dyDescent="0.25">
      <c r="A35" s="313">
        <f>A34+1</f>
        <v>27</v>
      </c>
      <c r="B35" s="316" t="s">
        <v>35</v>
      </c>
      <c r="C35" s="323">
        <v>338.2</v>
      </c>
      <c r="D35" s="323">
        <v>341.4</v>
      </c>
      <c r="E35" s="323">
        <v>344.7</v>
      </c>
    </row>
    <row r="36" spans="1:5" ht="18.75" x14ac:dyDescent="0.25">
      <c r="A36" s="313">
        <v>28</v>
      </c>
      <c r="B36" s="316" t="s">
        <v>36</v>
      </c>
      <c r="C36" s="323">
        <v>385.1</v>
      </c>
      <c r="D36" s="323">
        <v>388.3</v>
      </c>
      <c r="E36" s="323">
        <v>391.6</v>
      </c>
    </row>
    <row r="37" spans="1:5" ht="18.75" x14ac:dyDescent="0.25">
      <c r="A37" s="313">
        <v>29</v>
      </c>
      <c r="B37" s="316" t="s">
        <v>37</v>
      </c>
      <c r="C37" s="323">
        <v>338.2</v>
      </c>
      <c r="D37" s="323">
        <v>341.4</v>
      </c>
      <c r="E37" s="323">
        <v>344.7</v>
      </c>
    </row>
    <row r="38" spans="1:5" ht="18.75" x14ac:dyDescent="0.25">
      <c r="A38" s="313">
        <v>30</v>
      </c>
      <c r="B38" s="316" t="s">
        <v>38</v>
      </c>
      <c r="C38" s="323">
        <v>306.5</v>
      </c>
      <c r="D38" s="323">
        <v>309.60000000000002</v>
      </c>
      <c r="E38" s="323">
        <v>313</v>
      </c>
    </row>
    <row r="39" spans="1:5" ht="18.75" x14ac:dyDescent="0.25">
      <c r="A39" s="313">
        <f>A38+1</f>
        <v>31</v>
      </c>
      <c r="B39" s="316" t="s">
        <v>39</v>
      </c>
      <c r="C39" s="323">
        <v>338.2</v>
      </c>
      <c r="D39" s="323">
        <v>341.4</v>
      </c>
      <c r="E39" s="323">
        <v>344.7</v>
      </c>
    </row>
    <row r="40" spans="1:5" ht="18.75" x14ac:dyDescent="0.25">
      <c r="A40" s="313">
        <v>32</v>
      </c>
      <c r="B40" s="316" t="s">
        <v>40</v>
      </c>
      <c r="C40" s="323">
        <v>338.2</v>
      </c>
      <c r="D40" s="323">
        <v>341.4</v>
      </c>
      <c r="E40" s="323">
        <v>344.7</v>
      </c>
    </row>
    <row r="41" spans="1:5" ht="18.75" x14ac:dyDescent="0.25">
      <c r="A41" s="313">
        <v>33</v>
      </c>
      <c r="B41" s="316" t="s">
        <v>41</v>
      </c>
      <c r="C41" s="323">
        <v>338.2</v>
      </c>
      <c r="D41" s="323">
        <v>341.4</v>
      </c>
      <c r="E41" s="323">
        <v>344.7</v>
      </c>
    </row>
    <row r="42" spans="1:5" ht="18.75" x14ac:dyDescent="0.25">
      <c r="A42" s="313">
        <f>A41+1</f>
        <v>34</v>
      </c>
      <c r="B42" s="316" t="s">
        <v>42</v>
      </c>
      <c r="C42" s="323">
        <v>338.2</v>
      </c>
      <c r="D42" s="323">
        <v>341.4</v>
      </c>
      <c r="E42" s="323">
        <v>344.7</v>
      </c>
    </row>
    <row r="43" spans="1:5" ht="18.75" x14ac:dyDescent="0.25">
      <c r="A43" s="313">
        <f>A42+1</f>
        <v>35</v>
      </c>
      <c r="B43" s="316" t="s">
        <v>43</v>
      </c>
      <c r="C43" s="323">
        <v>385.1</v>
      </c>
      <c r="D43" s="323">
        <v>388.3</v>
      </c>
      <c r="E43" s="323">
        <v>391.6</v>
      </c>
    </row>
    <row r="44" spans="1:5" ht="18.75" x14ac:dyDescent="0.25">
      <c r="A44" s="313">
        <v>36</v>
      </c>
      <c r="B44" s="316" t="s">
        <v>44</v>
      </c>
      <c r="C44" s="323">
        <v>338.2</v>
      </c>
      <c r="D44" s="323">
        <v>341.4</v>
      </c>
      <c r="E44" s="323">
        <v>344.7</v>
      </c>
    </row>
    <row r="45" spans="1:5" ht="18.75" x14ac:dyDescent="0.25">
      <c r="A45" s="313">
        <v>37</v>
      </c>
      <c r="B45" s="316" t="s">
        <v>45</v>
      </c>
      <c r="C45" s="323">
        <v>338.2</v>
      </c>
      <c r="D45" s="323">
        <v>341.4</v>
      </c>
      <c r="E45" s="323">
        <v>344.7</v>
      </c>
    </row>
    <row r="46" spans="1:5" ht="18.75" x14ac:dyDescent="0.25">
      <c r="A46" s="313">
        <f>A45+1</f>
        <v>38</v>
      </c>
      <c r="B46" s="316" t="s">
        <v>46</v>
      </c>
      <c r="C46" s="323">
        <v>338.2</v>
      </c>
      <c r="D46" s="323">
        <v>341.4</v>
      </c>
      <c r="E46" s="323">
        <v>344.7</v>
      </c>
    </row>
    <row r="47" spans="1:5" ht="18.75" x14ac:dyDescent="0.25">
      <c r="A47" s="313">
        <v>39</v>
      </c>
      <c r="B47" s="316" t="s">
        <v>47</v>
      </c>
      <c r="C47" s="323">
        <v>338.2</v>
      </c>
      <c r="D47" s="323">
        <v>341.4</v>
      </c>
      <c r="E47" s="323">
        <v>344.7</v>
      </c>
    </row>
    <row r="48" spans="1:5" ht="18.75" x14ac:dyDescent="0.25">
      <c r="A48" s="313">
        <v>40</v>
      </c>
      <c r="B48" s="316" t="s">
        <v>48</v>
      </c>
      <c r="C48" s="323">
        <v>306.5</v>
      </c>
      <c r="D48" s="323">
        <v>309.60000000000002</v>
      </c>
      <c r="E48" s="323">
        <v>313</v>
      </c>
    </row>
    <row r="49" spans="1:5" ht="18.75" x14ac:dyDescent="0.25">
      <c r="A49" s="68" t="s">
        <v>58</v>
      </c>
      <c r="B49" s="322" t="s">
        <v>49</v>
      </c>
      <c r="C49" s="324">
        <f>SUM(C7:C48)</f>
        <v>18860.400000000012</v>
      </c>
      <c r="D49" s="324">
        <f>SUM(D7:D48)</f>
        <v>19035.599999999999</v>
      </c>
      <c r="E49" s="324">
        <f>SUM(E7:E48)</f>
        <v>19217.900000000012</v>
      </c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  <row r="55" spans="1:5" x14ac:dyDescent="0.25">
      <c r="A55" s="71"/>
      <c r="B55" s="71"/>
      <c r="C55" s="71"/>
      <c r="D55" s="71"/>
      <c r="E55" s="71"/>
    </row>
    <row r="56" spans="1:5" x14ac:dyDescent="0.25">
      <c r="A56" s="71"/>
      <c r="B56" s="71"/>
      <c r="C56" s="71"/>
      <c r="D56" s="71"/>
      <c r="E56" s="71"/>
    </row>
    <row r="57" spans="1:5" x14ac:dyDescent="0.25">
      <c r="A57" s="71"/>
      <c r="B57" s="71"/>
      <c r="C57" s="71"/>
      <c r="D57" s="71"/>
      <c r="E57" s="71"/>
    </row>
    <row r="58" spans="1:5" x14ac:dyDescent="0.25">
      <c r="A58" s="71"/>
      <c r="B58" s="71"/>
      <c r="C58" s="71"/>
      <c r="D58" s="71"/>
      <c r="E58" s="71"/>
    </row>
    <row r="59" spans="1:5" x14ac:dyDescent="0.25">
      <c r="A59" s="71"/>
      <c r="B59" s="71"/>
      <c r="C59" s="71"/>
      <c r="D59" s="71"/>
      <c r="E59" s="71"/>
    </row>
    <row r="60" spans="1:5" x14ac:dyDescent="0.25">
      <c r="A60" s="71"/>
      <c r="B60" s="71"/>
      <c r="C60" s="71"/>
      <c r="D60" s="71"/>
      <c r="E60" s="71"/>
    </row>
    <row r="61" spans="1:5" x14ac:dyDescent="0.25">
      <c r="A61" s="71"/>
      <c r="B61" s="71"/>
      <c r="C61" s="71"/>
      <c r="D61" s="71"/>
      <c r="E61" s="71"/>
    </row>
    <row r="62" spans="1:5" x14ac:dyDescent="0.25">
      <c r="A62" s="71"/>
      <c r="B62" s="71"/>
      <c r="C62" s="71"/>
      <c r="D62" s="71"/>
      <c r="E62" s="71"/>
    </row>
    <row r="63" spans="1:5" x14ac:dyDescent="0.25">
      <c r="A63" s="71"/>
      <c r="B63" s="71"/>
      <c r="C63" s="71"/>
      <c r="D63" s="71"/>
      <c r="E63" s="71"/>
    </row>
    <row r="64" spans="1:5" x14ac:dyDescent="0.25">
      <c r="A64" s="71"/>
      <c r="B64" s="71"/>
      <c r="C64" s="71"/>
      <c r="D64" s="71"/>
      <c r="E64" s="71"/>
    </row>
    <row r="65" spans="1:5" x14ac:dyDescent="0.25">
      <c r="A65" s="71"/>
      <c r="B65" s="71"/>
      <c r="C65" s="71"/>
      <c r="D65" s="71"/>
      <c r="E65" s="71"/>
    </row>
    <row r="66" spans="1:5" x14ac:dyDescent="0.25">
      <c r="A66" s="71"/>
      <c r="B66" s="71"/>
      <c r="C66" s="71"/>
      <c r="D66" s="71"/>
      <c r="E66" s="71"/>
    </row>
    <row r="67" spans="1:5" x14ac:dyDescent="0.25">
      <c r="A67" s="71"/>
      <c r="B67" s="71"/>
      <c r="C67" s="71"/>
      <c r="D67" s="71"/>
      <c r="E67" s="71"/>
    </row>
    <row r="68" spans="1:5" x14ac:dyDescent="0.25">
      <c r="A68" s="71"/>
      <c r="B68" s="71"/>
      <c r="C68" s="71"/>
      <c r="D68" s="71"/>
      <c r="E68" s="71"/>
    </row>
    <row r="69" spans="1:5" x14ac:dyDescent="0.25">
      <c r="A69" s="71"/>
      <c r="B69" s="71"/>
      <c r="C69" s="71"/>
      <c r="D69" s="71"/>
      <c r="E69" s="71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1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52"/>
  <sheetViews>
    <sheetView view="pageBreakPreview" zoomScaleNormal="75" zoomScaleSheetLayoutView="100" workbookViewId="0">
      <selection activeCell="L2" sqref="L2"/>
    </sheetView>
  </sheetViews>
  <sheetFormatPr defaultColWidth="9.140625" defaultRowHeight="18.75" x14ac:dyDescent="0.3"/>
  <cols>
    <col min="1" max="1" width="6.7109375" style="181" bestFit="1" customWidth="1"/>
    <col min="2" max="2" width="52.85546875" style="181" customWidth="1"/>
    <col min="3" max="3" width="15.7109375" style="181" customWidth="1"/>
    <col min="4" max="4" width="15.42578125" style="181" customWidth="1"/>
    <col min="5" max="5" width="17.140625" style="181" customWidth="1"/>
    <col min="6" max="16384" width="9.140625" style="181"/>
  </cols>
  <sheetData>
    <row r="1" spans="1:5" x14ac:dyDescent="0.3">
      <c r="A1" s="542" t="s">
        <v>393</v>
      </c>
      <c r="B1" s="542"/>
      <c r="C1" s="542"/>
      <c r="D1" s="542"/>
      <c r="E1" s="542"/>
    </row>
    <row r="2" spans="1:5" ht="133.5" customHeight="1" x14ac:dyDescent="0.3">
      <c r="A2" s="471" t="s">
        <v>437</v>
      </c>
      <c r="B2" s="471"/>
      <c r="C2" s="471"/>
      <c r="D2" s="471"/>
      <c r="E2" s="471"/>
    </row>
    <row r="3" spans="1:5" ht="15.75" customHeight="1" x14ac:dyDescent="0.3">
      <c r="A3" s="546" t="s">
        <v>0</v>
      </c>
      <c r="B3" s="547" t="s">
        <v>1</v>
      </c>
      <c r="C3" s="428" t="s">
        <v>2</v>
      </c>
      <c r="D3" s="428"/>
      <c r="E3" s="428"/>
    </row>
    <row r="4" spans="1:5" ht="15.75" customHeight="1" x14ac:dyDescent="0.3">
      <c r="A4" s="546"/>
      <c r="B4" s="547"/>
      <c r="C4" s="465" t="s">
        <v>3</v>
      </c>
      <c r="D4" s="428" t="s">
        <v>4</v>
      </c>
      <c r="E4" s="428"/>
    </row>
    <row r="5" spans="1:5" ht="15.75" customHeight="1" x14ac:dyDescent="0.3">
      <c r="A5" s="546"/>
      <c r="B5" s="547"/>
      <c r="C5" s="466"/>
      <c r="D5" s="170" t="s">
        <v>5</v>
      </c>
      <c r="E5" s="170" t="s">
        <v>6</v>
      </c>
    </row>
    <row r="6" spans="1:5" x14ac:dyDescent="0.3">
      <c r="A6" s="182">
        <v>1</v>
      </c>
      <c r="B6" s="183">
        <v>2</v>
      </c>
      <c r="C6" s="121">
        <v>3</v>
      </c>
      <c r="D6" s="172">
        <v>4</v>
      </c>
      <c r="E6" s="172">
        <v>5</v>
      </c>
    </row>
    <row r="7" spans="1:5" x14ac:dyDescent="0.3">
      <c r="A7" s="184">
        <v>1</v>
      </c>
      <c r="B7" s="185" t="s">
        <v>7</v>
      </c>
      <c r="C7" s="331">
        <v>11937.1</v>
      </c>
      <c r="D7" s="332">
        <f t="shared" ref="D7:D48" si="0">C7</f>
        <v>11937.1</v>
      </c>
      <c r="E7" s="332">
        <f t="shared" ref="E7:E48" si="1">C7</f>
        <v>11937.1</v>
      </c>
    </row>
    <row r="8" spans="1:5" s="186" customFormat="1" x14ac:dyDescent="0.3">
      <c r="A8" s="184">
        <v>2</v>
      </c>
      <c r="B8" s="185" t="s">
        <v>8</v>
      </c>
      <c r="C8" s="333">
        <v>13393.1</v>
      </c>
      <c r="D8" s="332">
        <f t="shared" si="0"/>
        <v>13393.1</v>
      </c>
      <c r="E8" s="332">
        <f t="shared" si="1"/>
        <v>13393.1</v>
      </c>
    </row>
    <row r="9" spans="1:5" s="186" customFormat="1" x14ac:dyDescent="0.3">
      <c r="A9" s="184">
        <v>3</v>
      </c>
      <c r="B9" s="185" t="s">
        <v>9</v>
      </c>
      <c r="C9" s="333">
        <v>116006.5</v>
      </c>
      <c r="D9" s="332">
        <f t="shared" si="0"/>
        <v>116006.5</v>
      </c>
      <c r="E9" s="332">
        <f t="shared" si="1"/>
        <v>116006.5</v>
      </c>
    </row>
    <row r="10" spans="1:5" s="186" customFormat="1" x14ac:dyDescent="0.3">
      <c r="A10" s="184">
        <v>4</v>
      </c>
      <c r="B10" s="185" t="s">
        <v>10</v>
      </c>
      <c r="C10" s="333">
        <v>9685.7999999999993</v>
      </c>
      <c r="D10" s="332">
        <f t="shared" si="0"/>
        <v>9685.7999999999993</v>
      </c>
      <c r="E10" s="332">
        <f t="shared" si="1"/>
        <v>9685.7999999999993</v>
      </c>
    </row>
    <row r="11" spans="1:5" s="186" customFormat="1" x14ac:dyDescent="0.3">
      <c r="A11" s="184">
        <v>5</v>
      </c>
      <c r="B11" s="187" t="s">
        <v>11</v>
      </c>
      <c r="C11" s="334">
        <v>17381.8</v>
      </c>
      <c r="D11" s="335">
        <f t="shared" si="0"/>
        <v>17381.8</v>
      </c>
      <c r="E11" s="332">
        <f t="shared" si="1"/>
        <v>17381.8</v>
      </c>
    </row>
    <row r="12" spans="1:5" x14ac:dyDescent="0.3">
      <c r="A12" s="184">
        <v>6</v>
      </c>
      <c r="B12" s="187" t="s">
        <v>12</v>
      </c>
      <c r="C12" s="334">
        <v>4980.8</v>
      </c>
      <c r="D12" s="335">
        <f t="shared" si="0"/>
        <v>4980.8</v>
      </c>
      <c r="E12" s="332">
        <f t="shared" si="1"/>
        <v>4980.8</v>
      </c>
    </row>
    <row r="13" spans="1:5" x14ac:dyDescent="0.3">
      <c r="A13" s="184">
        <v>7</v>
      </c>
      <c r="B13" s="185" t="s">
        <v>13</v>
      </c>
      <c r="C13" s="333">
        <v>4696.3</v>
      </c>
      <c r="D13" s="332">
        <f t="shared" si="0"/>
        <v>4696.3</v>
      </c>
      <c r="E13" s="332">
        <f t="shared" si="1"/>
        <v>4696.3</v>
      </c>
    </row>
    <row r="14" spans="1:5" x14ac:dyDescent="0.3">
      <c r="A14" s="184">
        <v>8</v>
      </c>
      <c r="B14" s="185" t="s">
        <v>14</v>
      </c>
      <c r="C14" s="333">
        <v>3041.9</v>
      </c>
      <c r="D14" s="332">
        <f t="shared" si="0"/>
        <v>3041.9</v>
      </c>
      <c r="E14" s="332">
        <f t="shared" si="1"/>
        <v>3041.9</v>
      </c>
    </row>
    <row r="15" spans="1:5" x14ac:dyDescent="0.3">
      <c r="A15" s="184">
        <v>9</v>
      </c>
      <c r="B15" s="185" t="s">
        <v>15</v>
      </c>
      <c r="C15" s="333">
        <v>11425.4</v>
      </c>
      <c r="D15" s="332">
        <f t="shared" si="0"/>
        <v>11425.4</v>
      </c>
      <c r="E15" s="332">
        <f t="shared" si="1"/>
        <v>11425.4</v>
      </c>
    </row>
    <row r="16" spans="1:5" x14ac:dyDescent="0.3">
      <c r="A16" s="184">
        <v>10</v>
      </c>
      <c r="B16" s="188" t="s">
        <v>16</v>
      </c>
      <c r="C16" s="333">
        <v>2263</v>
      </c>
      <c r="D16" s="332">
        <f t="shared" si="0"/>
        <v>2263</v>
      </c>
      <c r="E16" s="332">
        <f t="shared" si="1"/>
        <v>2263</v>
      </c>
    </row>
    <row r="17" spans="1:17" x14ac:dyDescent="0.3">
      <c r="A17" s="184">
        <v>11</v>
      </c>
      <c r="B17" s="188" t="s">
        <v>17</v>
      </c>
      <c r="C17" s="333">
        <v>1543.8</v>
      </c>
      <c r="D17" s="332">
        <f t="shared" si="0"/>
        <v>1543.8</v>
      </c>
      <c r="E17" s="332">
        <f t="shared" si="1"/>
        <v>1543.8</v>
      </c>
    </row>
    <row r="18" spans="1:17" x14ac:dyDescent="0.3">
      <c r="A18" s="184">
        <v>12</v>
      </c>
      <c r="B18" s="185" t="s">
        <v>18</v>
      </c>
      <c r="C18" s="333">
        <v>2326.1999999999998</v>
      </c>
      <c r="D18" s="332">
        <f t="shared" si="0"/>
        <v>2326.1999999999998</v>
      </c>
      <c r="E18" s="332">
        <f t="shared" si="1"/>
        <v>2326.1999999999998</v>
      </c>
    </row>
    <row r="19" spans="1:17" x14ac:dyDescent="0.3">
      <c r="A19" s="184">
        <v>13</v>
      </c>
      <c r="B19" s="185" t="s">
        <v>19</v>
      </c>
      <c r="C19" s="333">
        <v>1956.2</v>
      </c>
      <c r="D19" s="332">
        <f t="shared" si="0"/>
        <v>1956.2</v>
      </c>
      <c r="E19" s="332">
        <f t="shared" si="1"/>
        <v>1956.2</v>
      </c>
      <c r="Q19" s="217"/>
    </row>
    <row r="20" spans="1:17" x14ac:dyDescent="0.3">
      <c r="A20" s="184">
        <v>14</v>
      </c>
      <c r="B20" s="185" t="s">
        <v>20</v>
      </c>
      <c r="C20" s="333">
        <v>997.1</v>
      </c>
      <c r="D20" s="332">
        <f t="shared" si="0"/>
        <v>997.1</v>
      </c>
      <c r="E20" s="332">
        <f t="shared" si="1"/>
        <v>997.1</v>
      </c>
    </row>
    <row r="21" spans="1:17" x14ac:dyDescent="0.3">
      <c r="A21" s="184">
        <v>15</v>
      </c>
      <c r="B21" s="185" t="s">
        <v>21</v>
      </c>
      <c r="C21" s="333">
        <v>1424.4</v>
      </c>
      <c r="D21" s="332">
        <f t="shared" si="0"/>
        <v>1424.4</v>
      </c>
      <c r="E21" s="332">
        <f t="shared" si="1"/>
        <v>1424.4</v>
      </c>
    </row>
    <row r="22" spans="1:17" x14ac:dyDescent="0.3">
      <c r="A22" s="184">
        <v>16</v>
      </c>
      <c r="B22" s="185" t="s">
        <v>22</v>
      </c>
      <c r="C22" s="333">
        <v>708.9</v>
      </c>
      <c r="D22" s="332">
        <f t="shared" si="0"/>
        <v>708.9</v>
      </c>
      <c r="E22" s="332">
        <f t="shared" si="1"/>
        <v>708.9</v>
      </c>
    </row>
    <row r="23" spans="1:17" x14ac:dyDescent="0.3">
      <c r="A23" s="184">
        <v>17</v>
      </c>
      <c r="B23" s="185" t="s">
        <v>23</v>
      </c>
      <c r="C23" s="333">
        <v>924.7</v>
      </c>
      <c r="D23" s="332">
        <f t="shared" si="0"/>
        <v>924.7</v>
      </c>
      <c r="E23" s="332">
        <f t="shared" si="1"/>
        <v>924.7</v>
      </c>
    </row>
    <row r="24" spans="1:17" x14ac:dyDescent="0.3">
      <c r="A24" s="184">
        <v>18</v>
      </c>
      <c r="B24" s="185" t="s">
        <v>24</v>
      </c>
      <c r="C24" s="333">
        <v>1699.2</v>
      </c>
      <c r="D24" s="332">
        <f t="shared" si="0"/>
        <v>1699.2</v>
      </c>
      <c r="E24" s="332">
        <f t="shared" si="1"/>
        <v>1699.2</v>
      </c>
    </row>
    <row r="25" spans="1:17" x14ac:dyDescent="0.3">
      <c r="A25" s="184">
        <v>19</v>
      </c>
      <c r="B25" s="185" t="s">
        <v>25</v>
      </c>
      <c r="C25" s="333">
        <v>7279.6</v>
      </c>
      <c r="D25" s="332">
        <f t="shared" si="0"/>
        <v>7279.6</v>
      </c>
      <c r="E25" s="332">
        <f t="shared" si="1"/>
        <v>7279.6</v>
      </c>
    </row>
    <row r="26" spans="1:17" x14ac:dyDescent="0.3">
      <c r="A26" s="184">
        <v>20</v>
      </c>
      <c r="B26" s="185" t="s">
        <v>26</v>
      </c>
      <c r="C26" s="333">
        <v>689.7</v>
      </c>
      <c r="D26" s="332">
        <f t="shared" si="0"/>
        <v>689.7</v>
      </c>
      <c r="E26" s="332">
        <f t="shared" si="1"/>
        <v>689.7</v>
      </c>
    </row>
    <row r="27" spans="1:17" x14ac:dyDescent="0.3">
      <c r="A27" s="184">
        <v>21</v>
      </c>
      <c r="B27" s="185" t="s">
        <v>27</v>
      </c>
      <c r="C27" s="333">
        <v>8092.4</v>
      </c>
      <c r="D27" s="332">
        <f t="shared" si="0"/>
        <v>8092.4</v>
      </c>
      <c r="E27" s="332">
        <f t="shared" si="1"/>
        <v>8092.4</v>
      </c>
    </row>
    <row r="28" spans="1:17" x14ac:dyDescent="0.3">
      <c r="A28" s="189">
        <v>22</v>
      </c>
      <c r="B28" s="187" t="s">
        <v>28</v>
      </c>
      <c r="C28" s="334">
        <v>587.4</v>
      </c>
      <c r="D28" s="335">
        <f t="shared" si="0"/>
        <v>587.4</v>
      </c>
      <c r="E28" s="332">
        <f t="shared" si="1"/>
        <v>587.4</v>
      </c>
    </row>
    <row r="29" spans="1:17" x14ac:dyDescent="0.3">
      <c r="A29" s="184">
        <v>23</v>
      </c>
      <c r="B29" s="185" t="s">
        <v>29</v>
      </c>
      <c r="C29" s="333">
        <v>2368.1999999999998</v>
      </c>
      <c r="D29" s="332">
        <f t="shared" si="0"/>
        <v>2368.1999999999998</v>
      </c>
      <c r="E29" s="332">
        <f t="shared" si="1"/>
        <v>2368.1999999999998</v>
      </c>
    </row>
    <row r="30" spans="1:17" x14ac:dyDescent="0.3">
      <c r="A30" s="184">
        <v>24</v>
      </c>
      <c r="B30" s="185" t="s">
        <v>30</v>
      </c>
      <c r="C30" s="333">
        <v>11258.9</v>
      </c>
      <c r="D30" s="332">
        <f t="shared" si="0"/>
        <v>11258.9</v>
      </c>
      <c r="E30" s="332">
        <f t="shared" si="1"/>
        <v>11258.9</v>
      </c>
    </row>
    <row r="31" spans="1:17" x14ac:dyDescent="0.3">
      <c r="A31" s="184">
        <v>25</v>
      </c>
      <c r="B31" s="185" t="s">
        <v>31</v>
      </c>
      <c r="C31" s="333">
        <v>2817.2</v>
      </c>
      <c r="D31" s="332">
        <f t="shared" si="0"/>
        <v>2817.2</v>
      </c>
      <c r="E31" s="332">
        <f t="shared" si="1"/>
        <v>2817.2</v>
      </c>
    </row>
    <row r="32" spans="1:17" x14ac:dyDescent="0.3">
      <c r="A32" s="184">
        <v>26</v>
      </c>
      <c r="B32" s="185" t="s">
        <v>32</v>
      </c>
      <c r="C32" s="333">
        <v>1425.7</v>
      </c>
      <c r="D32" s="332">
        <f t="shared" si="0"/>
        <v>1425.7</v>
      </c>
      <c r="E32" s="332">
        <f t="shared" si="1"/>
        <v>1425.7</v>
      </c>
    </row>
    <row r="33" spans="1:5" x14ac:dyDescent="0.3">
      <c r="A33" s="184">
        <v>27</v>
      </c>
      <c r="B33" s="185" t="s">
        <v>33</v>
      </c>
      <c r="C33" s="333">
        <v>1208.3</v>
      </c>
      <c r="D33" s="332">
        <f t="shared" si="0"/>
        <v>1208.3</v>
      </c>
      <c r="E33" s="332">
        <f t="shared" si="1"/>
        <v>1208.3</v>
      </c>
    </row>
    <row r="34" spans="1:5" x14ac:dyDescent="0.3">
      <c r="A34" s="184">
        <v>28</v>
      </c>
      <c r="B34" s="185" t="s">
        <v>34</v>
      </c>
      <c r="C34" s="333">
        <v>17666.7</v>
      </c>
      <c r="D34" s="332">
        <f t="shared" si="0"/>
        <v>17666.7</v>
      </c>
      <c r="E34" s="332">
        <f t="shared" si="1"/>
        <v>17666.7</v>
      </c>
    </row>
    <row r="35" spans="1:5" x14ac:dyDescent="0.3">
      <c r="A35" s="184">
        <v>29</v>
      </c>
      <c r="B35" s="185" t="s">
        <v>35</v>
      </c>
      <c r="C35" s="333">
        <v>2739.8</v>
      </c>
      <c r="D35" s="332">
        <f t="shared" si="0"/>
        <v>2739.8</v>
      </c>
      <c r="E35" s="332">
        <f t="shared" si="1"/>
        <v>2739.8</v>
      </c>
    </row>
    <row r="36" spans="1:5" x14ac:dyDescent="0.3">
      <c r="A36" s="184">
        <v>30</v>
      </c>
      <c r="B36" s="185" t="s">
        <v>36</v>
      </c>
      <c r="C36" s="333">
        <v>4910.3</v>
      </c>
      <c r="D36" s="332">
        <f t="shared" si="0"/>
        <v>4910.3</v>
      </c>
      <c r="E36" s="332">
        <f t="shared" si="1"/>
        <v>4910.3</v>
      </c>
    </row>
    <row r="37" spans="1:5" x14ac:dyDescent="0.3">
      <c r="A37" s="184">
        <v>31</v>
      </c>
      <c r="B37" s="185" t="s">
        <v>37</v>
      </c>
      <c r="C37" s="333">
        <v>3217.2</v>
      </c>
      <c r="D37" s="332">
        <f t="shared" si="0"/>
        <v>3217.2</v>
      </c>
      <c r="E37" s="332">
        <f t="shared" si="1"/>
        <v>3217.2</v>
      </c>
    </row>
    <row r="38" spans="1:5" x14ac:dyDescent="0.3">
      <c r="A38" s="184">
        <v>32</v>
      </c>
      <c r="B38" s="185" t="s">
        <v>38</v>
      </c>
      <c r="C38" s="333">
        <v>271.7</v>
      </c>
      <c r="D38" s="332">
        <f t="shared" si="0"/>
        <v>271.7</v>
      </c>
      <c r="E38" s="332">
        <f t="shared" si="1"/>
        <v>271.7</v>
      </c>
    </row>
    <row r="39" spans="1:5" x14ac:dyDescent="0.3">
      <c r="A39" s="184">
        <v>33</v>
      </c>
      <c r="B39" s="185" t="s">
        <v>39</v>
      </c>
      <c r="C39" s="333">
        <v>1600.2</v>
      </c>
      <c r="D39" s="332">
        <f t="shared" si="0"/>
        <v>1600.2</v>
      </c>
      <c r="E39" s="332">
        <f t="shared" si="1"/>
        <v>1600.2</v>
      </c>
    </row>
    <row r="40" spans="1:5" x14ac:dyDescent="0.3">
      <c r="A40" s="184">
        <v>34</v>
      </c>
      <c r="B40" s="185" t="s">
        <v>40</v>
      </c>
      <c r="C40" s="333">
        <v>1301.5999999999999</v>
      </c>
      <c r="D40" s="332">
        <f t="shared" si="0"/>
        <v>1301.5999999999999</v>
      </c>
      <c r="E40" s="332">
        <f t="shared" si="1"/>
        <v>1301.5999999999999</v>
      </c>
    </row>
    <row r="41" spans="1:5" x14ac:dyDescent="0.3">
      <c r="A41" s="184">
        <v>35</v>
      </c>
      <c r="B41" s="185" t="s">
        <v>41</v>
      </c>
      <c r="C41" s="333">
        <v>1055.2</v>
      </c>
      <c r="D41" s="332">
        <f t="shared" si="0"/>
        <v>1055.2</v>
      </c>
      <c r="E41" s="332">
        <f t="shared" si="1"/>
        <v>1055.2</v>
      </c>
    </row>
    <row r="42" spans="1:5" x14ac:dyDescent="0.3">
      <c r="A42" s="184">
        <v>36</v>
      </c>
      <c r="B42" s="185" t="s">
        <v>42</v>
      </c>
      <c r="C42" s="333">
        <v>1478.7</v>
      </c>
      <c r="D42" s="332">
        <f t="shared" si="0"/>
        <v>1478.7</v>
      </c>
      <c r="E42" s="332">
        <f t="shared" si="1"/>
        <v>1478.7</v>
      </c>
    </row>
    <row r="43" spans="1:5" x14ac:dyDescent="0.3">
      <c r="A43" s="184">
        <v>37</v>
      </c>
      <c r="B43" s="185" t="s">
        <v>43</v>
      </c>
      <c r="C43" s="333">
        <v>3964.4</v>
      </c>
      <c r="D43" s="332">
        <f t="shared" si="0"/>
        <v>3964.4</v>
      </c>
      <c r="E43" s="332">
        <f t="shared" si="1"/>
        <v>3964.4</v>
      </c>
    </row>
    <row r="44" spans="1:5" x14ac:dyDescent="0.3">
      <c r="A44" s="184">
        <v>38</v>
      </c>
      <c r="B44" s="185" t="s">
        <v>44</v>
      </c>
      <c r="C44" s="333">
        <v>1015.8</v>
      </c>
      <c r="D44" s="332">
        <f t="shared" si="0"/>
        <v>1015.8</v>
      </c>
      <c r="E44" s="332">
        <f t="shared" si="1"/>
        <v>1015.8</v>
      </c>
    </row>
    <row r="45" spans="1:5" x14ac:dyDescent="0.3">
      <c r="A45" s="184">
        <v>39</v>
      </c>
      <c r="B45" s="185" t="s">
        <v>45</v>
      </c>
      <c r="C45" s="333">
        <v>4688.7</v>
      </c>
      <c r="D45" s="332">
        <f t="shared" si="0"/>
        <v>4688.7</v>
      </c>
      <c r="E45" s="332">
        <f t="shared" si="1"/>
        <v>4688.7</v>
      </c>
    </row>
    <row r="46" spans="1:5" x14ac:dyDescent="0.3">
      <c r="A46" s="184">
        <v>40</v>
      </c>
      <c r="B46" s="185" t="s">
        <v>46</v>
      </c>
      <c r="C46" s="333">
        <v>1112</v>
      </c>
      <c r="D46" s="332">
        <f t="shared" si="0"/>
        <v>1112</v>
      </c>
      <c r="E46" s="332">
        <f t="shared" si="1"/>
        <v>1112</v>
      </c>
    </row>
    <row r="47" spans="1:5" x14ac:dyDescent="0.3">
      <c r="A47" s="184">
        <v>41</v>
      </c>
      <c r="B47" s="190" t="s">
        <v>355</v>
      </c>
      <c r="C47" s="333">
        <v>4103.7</v>
      </c>
      <c r="D47" s="332">
        <f t="shared" si="0"/>
        <v>4103.7</v>
      </c>
      <c r="E47" s="332">
        <f t="shared" si="1"/>
        <v>4103.7</v>
      </c>
    </row>
    <row r="48" spans="1:5" x14ac:dyDescent="0.3">
      <c r="A48" s="184">
        <v>42</v>
      </c>
      <c r="B48" s="190" t="s">
        <v>356</v>
      </c>
      <c r="C48" s="333">
        <v>305.8</v>
      </c>
      <c r="D48" s="332">
        <f t="shared" si="0"/>
        <v>305.8</v>
      </c>
      <c r="E48" s="332">
        <f t="shared" si="1"/>
        <v>305.8</v>
      </c>
    </row>
    <row r="49" spans="1:5" x14ac:dyDescent="0.3">
      <c r="A49" s="191"/>
      <c r="B49" s="192" t="s">
        <v>49</v>
      </c>
      <c r="C49" s="336">
        <f>SUM(C7:C48)</f>
        <v>291551.40000000008</v>
      </c>
      <c r="D49" s="336">
        <f>SUM(D7:D48)</f>
        <v>291551.40000000008</v>
      </c>
      <c r="E49" s="336">
        <f>SUM(E7:E48)</f>
        <v>291551.40000000008</v>
      </c>
    </row>
    <row r="50" spans="1:5" ht="64.5" customHeight="1" x14ac:dyDescent="0.3">
      <c r="A50" s="544"/>
      <c r="B50" s="544"/>
      <c r="C50" s="169"/>
      <c r="D50" s="545"/>
      <c r="E50" s="545"/>
    </row>
    <row r="51" spans="1:5" hidden="1" x14ac:dyDescent="0.3"/>
    <row r="52" spans="1:5" x14ac:dyDescent="0.3">
      <c r="A52" s="543"/>
      <c r="B52" s="543"/>
      <c r="C52" s="193"/>
    </row>
  </sheetData>
  <mergeCells count="10">
    <mergeCell ref="A1:E1"/>
    <mergeCell ref="A52:B52"/>
    <mergeCell ref="A2:E2"/>
    <mergeCell ref="C3:E3"/>
    <mergeCell ref="C4:C5"/>
    <mergeCell ref="A50:B50"/>
    <mergeCell ref="D50:E50"/>
    <mergeCell ref="A3:A5"/>
    <mergeCell ref="B3:B5"/>
    <mergeCell ref="D4:E4"/>
  </mergeCell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62"/>
  <sheetViews>
    <sheetView view="pageBreakPreview" zoomScaleNormal="100" zoomScaleSheetLayoutView="100" workbookViewId="0">
      <selection activeCell="O20" sqref="O20"/>
    </sheetView>
  </sheetViews>
  <sheetFormatPr defaultRowHeight="18.75" x14ac:dyDescent="0.25"/>
  <cols>
    <col min="1" max="1" width="7.42578125" style="18" customWidth="1"/>
    <col min="2" max="2" width="62.85546875" style="26" customWidth="1"/>
    <col min="3" max="3" width="18" style="19" customWidth="1"/>
    <col min="4" max="4" width="18.42578125" style="19" customWidth="1"/>
    <col min="5" max="5" width="19.140625" style="19" customWidth="1"/>
    <col min="6" max="6" width="33.140625" style="19" customWidth="1"/>
    <col min="7" max="256" width="9.140625" style="18"/>
    <col min="257" max="257" width="8.85546875" style="18" customWidth="1"/>
    <col min="258" max="258" width="58.28515625" style="18" customWidth="1"/>
    <col min="259" max="259" width="18" style="18" customWidth="1"/>
    <col min="260" max="260" width="18.42578125" style="18" customWidth="1"/>
    <col min="261" max="261" width="19.140625" style="18" customWidth="1"/>
    <col min="262" max="262" width="33.140625" style="18" customWidth="1"/>
    <col min="263" max="512" width="9.140625" style="18"/>
    <col min="513" max="513" width="8.85546875" style="18" customWidth="1"/>
    <col min="514" max="514" width="58.28515625" style="18" customWidth="1"/>
    <col min="515" max="515" width="18" style="18" customWidth="1"/>
    <col min="516" max="516" width="18.42578125" style="18" customWidth="1"/>
    <col min="517" max="517" width="19.140625" style="18" customWidth="1"/>
    <col min="518" max="518" width="33.140625" style="18" customWidth="1"/>
    <col min="519" max="768" width="9.140625" style="18"/>
    <col min="769" max="769" width="8.85546875" style="18" customWidth="1"/>
    <col min="770" max="770" width="58.28515625" style="18" customWidth="1"/>
    <col min="771" max="771" width="18" style="18" customWidth="1"/>
    <col min="772" max="772" width="18.42578125" style="18" customWidth="1"/>
    <col min="773" max="773" width="19.140625" style="18" customWidth="1"/>
    <col min="774" max="774" width="33.140625" style="18" customWidth="1"/>
    <col min="775" max="1024" width="9.140625" style="18"/>
    <col min="1025" max="1025" width="8.85546875" style="18" customWidth="1"/>
    <col min="1026" max="1026" width="58.28515625" style="18" customWidth="1"/>
    <col min="1027" max="1027" width="18" style="18" customWidth="1"/>
    <col min="1028" max="1028" width="18.42578125" style="18" customWidth="1"/>
    <col min="1029" max="1029" width="19.140625" style="18" customWidth="1"/>
    <col min="1030" max="1030" width="33.140625" style="18" customWidth="1"/>
    <col min="1031" max="1280" width="9.140625" style="18"/>
    <col min="1281" max="1281" width="8.85546875" style="18" customWidth="1"/>
    <col min="1282" max="1282" width="58.28515625" style="18" customWidth="1"/>
    <col min="1283" max="1283" width="18" style="18" customWidth="1"/>
    <col min="1284" max="1284" width="18.42578125" style="18" customWidth="1"/>
    <col min="1285" max="1285" width="19.140625" style="18" customWidth="1"/>
    <col min="1286" max="1286" width="33.140625" style="18" customWidth="1"/>
    <col min="1287" max="1536" width="9.140625" style="18"/>
    <col min="1537" max="1537" width="8.85546875" style="18" customWidth="1"/>
    <col min="1538" max="1538" width="58.28515625" style="18" customWidth="1"/>
    <col min="1539" max="1539" width="18" style="18" customWidth="1"/>
    <col min="1540" max="1540" width="18.42578125" style="18" customWidth="1"/>
    <col min="1541" max="1541" width="19.140625" style="18" customWidth="1"/>
    <col min="1542" max="1542" width="33.140625" style="18" customWidth="1"/>
    <col min="1543" max="1792" width="9.140625" style="18"/>
    <col min="1793" max="1793" width="8.85546875" style="18" customWidth="1"/>
    <col min="1794" max="1794" width="58.28515625" style="18" customWidth="1"/>
    <col min="1795" max="1795" width="18" style="18" customWidth="1"/>
    <col min="1796" max="1796" width="18.42578125" style="18" customWidth="1"/>
    <col min="1797" max="1797" width="19.140625" style="18" customWidth="1"/>
    <col min="1798" max="1798" width="33.140625" style="18" customWidth="1"/>
    <col min="1799" max="2048" width="9.140625" style="18"/>
    <col min="2049" max="2049" width="8.85546875" style="18" customWidth="1"/>
    <col min="2050" max="2050" width="58.28515625" style="18" customWidth="1"/>
    <col min="2051" max="2051" width="18" style="18" customWidth="1"/>
    <col min="2052" max="2052" width="18.42578125" style="18" customWidth="1"/>
    <col min="2053" max="2053" width="19.140625" style="18" customWidth="1"/>
    <col min="2054" max="2054" width="33.140625" style="18" customWidth="1"/>
    <col min="2055" max="2304" width="9.140625" style="18"/>
    <col min="2305" max="2305" width="8.85546875" style="18" customWidth="1"/>
    <col min="2306" max="2306" width="58.28515625" style="18" customWidth="1"/>
    <col min="2307" max="2307" width="18" style="18" customWidth="1"/>
    <col min="2308" max="2308" width="18.42578125" style="18" customWidth="1"/>
    <col min="2309" max="2309" width="19.140625" style="18" customWidth="1"/>
    <col min="2310" max="2310" width="33.140625" style="18" customWidth="1"/>
    <col min="2311" max="2560" width="9.140625" style="18"/>
    <col min="2561" max="2561" width="8.85546875" style="18" customWidth="1"/>
    <col min="2562" max="2562" width="58.28515625" style="18" customWidth="1"/>
    <col min="2563" max="2563" width="18" style="18" customWidth="1"/>
    <col min="2564" max="2564" width="18.42578125" style="18" customWidth="1"/>
    <col min="2565" max="2565" width="19.140625" style="18" customWidth="1"/>
    <col min="2566" max="2566" width="33.140625" style="18" customWidth="1"/>
    <col min="2567" max="2816" width="9.140625" style="18"/>
    <col min="2817" max="2817" width="8.85546875" style="18" customWidth="1"/>
    <col min="2818" max="2818" width="58.28515625" style="18" customWidth="1"/>
    <col min="2819" max="2819" width="18" style="18" customWidth="1"/>
    <col min="2820" max="2820" width="18.42578125" style="18" customWidth="1"/>
    <col min="2821" max="2821" width="19.140625" style="18" customWidth="1"/>
    <col min="2822" max="2822" width="33.140625" style="18" customWidth="1"/>
    <col min="2823" max="3072" width="9.140625" style="18"/>
    <col min="3073" max="3073" width="8.85546875" style="18" customWidth="1"/>
    <col min="3074" max="3074" width="58.28515625" style="18" customWidth="1"/>
    <col min="3075" max="3075" width="18" style="18" customWidth="1"/>
    <col min="3076" max="3076" width="18.42578125" style="18" customWidth="1"/>
    <col min="3077" max="3077" width="19.140625" style="18" customWidth="1"/>
    <col min="3078" max="3078" width="33.140625" style="18" customWidth="1"/>
    <col min="3079" max="3328" width="9.140625" style="18"/>
    <col min="3329" max="3329" width="8.85546875" style="18" customWidth="1"/>
    <col min="3330" max="3330" width="58.28515625" style="18" customWidth="1"/>
    <col min="3331" max="3331" width="18" style="18" customWidth="1"/>
    <col min="3332" max="3332" width="18.42578125" style="18" customWidth="1"/>
    <col min="3333" max="3333" width="19.140625" style="18" customWidth="1"/>
    <col min="3334" max="3334" width="33.140625" style="18" customWidth="1"/>
    <col min="3335" max="3584" width="9.140625" style="18"/>
    <col min="3585" max="3585" width="8.85546875" style="18" customWidth="1"/>
    <col min="3586" max="3586" width="58.28515625" style="18" customWidth="1"/>
    <col min="3587" max="3587" width="18" style="18" customWidth="1"/>
    <col min="3588" max="3588" width="18.42578125" style="18" customWidth="1"/>
    <col min="3589" max="3589" width="19.140625" style="18" customWidth="1"/>
    <col min="3590" max="3590" width="33.140625" style="18" customWidth="1"/>
    <col min="3591" max="3840" width="9.140625" style="18"/>
    <col min="3841" max="3841" width="8.85546875" style="18" customWidth="1"/>
    <col min="3842" max="3842" width="58.28515625" style="18" customWidth="1"/>
    <col min="3843" max="3843" width="18" style="18" customWidth="1"/>
    <col min="3844" max="3844" width="18.42578125" style="18" customWidth="1"/>
    <col min="3845" max="3845" width="19.140625" style="18" customWidth="1"/>
    <col min="3846" max="3846" width="33.140625" style="18" customWidth="1"/>
    <col min="3847" max="4096" width="9.140625" style="18"/>
    <col min="4097" max="4097" width="8.85546875" style="18" customWidth="1"/>
    <col min="4098" max="4098" width="58.28515625" style="18" customWidth="1"/>
    <col min="4099" max="4099" width="18" style="18" customWidth="1"/>
    <col min="4100" max="4100" width="18.42578125" style="18" customWidth="1"/>
    <col min="4101" max="4101" width="19.140625" style="18" customWidth="1"/>
    <col min="4102" max="4102" width="33.140625" style="18" customWidth="1"/>
    <col min="4103" max="4352" width="9.140625" style="18"/>
    <col min="4353" max="4353" width="8.85546875" style="18" customWidth="1"/>
    <col min="4354" max="4354" width="58.28515625" style="18" customWidth="1"/>
    <col min="4355" max="4355" width="18" style="18" customWidth="1"/>
    <col min="4356" max="4356" width="18.42578125" style="18" customWidth="1"/>
    <col min="4357" max="4357" width="19.140625" style="18" customWidth="1"/>
    <col min="4358" max="4358" width="33.140625" style="18" customWidth="1"/>
    <col min="4359" max="4608" width="9.140625" style="18"/>
    <col min="4609" max="4609" width="8.85546875" style="18" customWidth="1"/>
    <col min="4610" max="4610" width="58.28515625" style="18" customWidth="1"/>
    <col min="4611" max="4611" width="18" style="18" customWidth="1"/>
    <col min="4612" max="4612" width="18.42578125" style="18" customWidth="1"/>
    <col min="4613" max="4613" width="19.140625" style="18" customWidth="1"/>
    <col min="4614" max="4614" width="33.140625" style="18" customWidth="1"/>
    <col min="4615" max="4864" width="9.140625" style="18"/>
    <col min="4865" max="4865" width="8.85546875" style="18" customWidth="1"/>
    <col min="4866" max="4866" width="58.28515625" style="18" customWidth="1"/>
    <col min="4867" max="4867" width="18" style="18" customWidth="1"/>
    <col min="4868" max="4868" width="18.42578125" style="18" customWidth="1"/>
    <col min="4869" max="4869" width="19.140625" style="18" customWidth="1"/>
    <col min="4870" max="4870" width="33.140625" style="18" customWidth="1"/>
    <col min="4871" max="5120" width="9.140625" style="18"/>
    <col min="5121" max="5121" width="8.85546875" style="18" customWidth="1"/>
    <col min="5122" max="5122" width="58.28515625" style="18" customWidth="1"/>
    <col min="5123" max="5123" width="18" style="18" customWidth="1"/>
    <col min="5124" max="5124" width="18.42578125" style="18" customWidth="1"/>
    <col min="5125" max="5125" width="19.140625" style="18" customWidth="1"/>
    <col min="5126" max="5126" width="33.140625" style="18" customWidth="1"/>
    <col min="5127" max="5376" width="9.140625" style="18"/>
    <col min="5377" max="5377" width="8.85546875" style="18" customWidth="1"/>
    <col min="5378" max="5378" width="58.28515625" style="18" customWidth="1"/>
    <col min="5379" max="5379" width="18" style="18" customWidth="1"/>
    <col min="5380" max="5380" width="18.42578125" style="18" customWidth="1"/>
    <col min="5381" max="5381" width="19.140625" style="18" customWidth="1"/>
    <col min="5382" max="5382" width="33.140625" style="18" customWidth="1"/>
    <col min="5383" max="5632" width="9.140625" style="18"/>
    <col min="5633" max="5633" width="8.85546875" style="18" customWidth="1"/>
    <col min="5634" max="5634" width="58.28515625" style="18" customWidth="1"/>
    <col min="5635" max="5635" width="18" style="18" customWidth="1"/>
    <col min="5636" max="5636" width="18.42578125" style="18" customWidth="1"/>
    <col min="5637" max="5637" width="19.140625" style="18" customWidth="1"/>
    <col min="5638" max="5638" width="33.140625" style="18" customWidth="1"/>
    <col min="5639" max="5888" width="9.140625" style="18"/>
    <col min="5889" max="5889" width="8.85546875" style="18" customWidth="1"/>
    <col min="5890" max="5890" width="58.28515625" style="18" customWidth="1"/>
    <col min="5891" max="5891" width="18" style="18" customWidth="1"/>
    <col min="5892" max="5892" width="18.42578125" style="18" customWidth="1"/>
    <col min="5893" max="5893" width="19.140625" style="18" customWidth="1"/>
    <col min="5894" max="5894" width="33.140625" style="18" customWidth="1"/>
    <col min="5895" max="6144" width="9.140625" style="18"/>
    <col min="6145" max="6145" width="8.85546875" style="18" customWidth="1"/>
    <col min="6146" max="6146" width="58.28515625" style="18" customWidth="1"/>
    <col min="6147" max="6147" width="18" style="18" customWidth="1"/>
    <col min="6148" max="6148" width="18.42578125" style="18" customWidth="1"/>
    <col min="6149" max="6149" width="19.140625" style="18" customWidth="1"/>
    <col min="6150" max="6150" width="33.140625" style="18" customWidth="1"/>
    <col min="6151" max="6400" width="9.140625" style="18"/>
    <col min="6401" max="6401" width="8.85546875" style="18" customWidth="1"/>
    <col min="6402" max="6402" width="58.28515625" style="18" customWidth="1"/>
    <col min="6403" max="6403" width="18" style="18" customWidth="1"/>
    <col min="6404" max="6404" width="18.42578125" style="18" customWidth="1"/>
    <col min="6405" max="6405" width="19.140625" style="18" customWidth="1"/>
    <col min="6406" max="6406" width="33.140625" style="18" customWidth="1"/>
    <col min="6407" max="6656" width="9.140625" style="18"/>
    <col min="6657" max="6657" width="8.85546875" style="18" customWidth="1"/>
    <col min="6658" max="6658" width="58.28515625" style="18" customWidth="1"/>
    <col min="6659" max="6659" width="18" style="18" customWidth="1"/>
    <col min="6660" max="6660" width="18.42578125" style="18" customWidth="1"/>
    <col min="6661" max="6661" width="19.140625" style="18" customWidth="1"/>
    <col min="6662" max="6662" width="33.140625" style="18" customWidth="1"/>
    <col min="6663" max="6912" width="9.140625" style="18"/>
    <col min="6913" max="6913" width="8.85546875" style="18" customWidth="1"/>
    <col min="6914" max="6914" width="58.28515625" style="18" customWidth="1"/>
    <col min="6915" max="6915" width="18" style="18" customWidth="1"/>
    <col min="6916" max="6916" width="18.42578125" style="18" customWidth="1"/>
    <col min="6917" max="6917" width="19.140625" style="18" customWidth="1"/>
    <col min="6918" max="6918" width="33.140625" style="18" customWidth="1"/>
    <col min="6919" max="7168" width="9.140625" style="18"/>
    <col min="7169" max="7169" width="8.85546875" style="18" customWidth="1"/>
    <col min="7170" max="7170" width="58.28515625" style="18" customWidth="1"/>
    <col min="7171" max="7171" width="18" style="18" customWidth="1"/>
    <col min="7172" max="7172" width="18.42578125" style="18" customWidth="1"/>
    <col min="7173" max="7173" width="19.140625" style="18" customWidth="1"/>
    <col min="7174" max="7174" width="33.140625" style="18" customWidth="1"/>
    <col min="7175" max="7424" width="9.140625" style="18"/>
    <col min="7425" max="7425" width="8.85546875" style="18" customWidth="1"/>
    <col min="7426" max="7426" width="58.28515625" style="18" customWidth="1"/>
    <col min="7427" max="7427" width="18" style="18" customWidth="1"/>
    <col min="7428" max="7428" width="18.42578125" style="18" customWidth="1"/>
    <col min="7429" max="7429" width="19.140625" style="18" customWidth="1"/>
    <col min="7430" max="7430" width="33.140625" style="18" customWidth="1"/>
    <col min="7431" max="7680" width="9.140625" style="18"/>
    <col min="7681" max="7681" width="8.85546875" style="18" customWidth="1"/>
    <col min="7682" max="7682" width="58.28515625" style="18" customWidth="1"/>
    <col min="7683" max="7683" width="18" style="18" customWidth="1"/>
    <col min="7684" max="7684" width="18.42578125" style="18" customWidth="1"/>
    <col min="7685" max="7685" width="19.140625" style="18" customWidth="1"/>
    <col min="7686" max="7686" width="33.140625" style="18" customWidth="1"/>
    <col min="7687" max="7936" width="9.140625" style="18"/>
    <col min="7937" max="7937" width="8.85546875" style="18" customWidth="1"/>
    <col min="7938" max="7938" width="58.28515625" style="18" customWidth="1"/>
    <col min="7939" max="7939" width="18" style="18" customWidth="1"/>
    <col min="7940" max="7940" width="18.42578125" style="18" customWidth="1"/>
    <col min="7941" max="7941" width="19.140625" style="18" customWidth="1"/>
    <col min="7942" max="7942" width="33.140625" style="18" customWidth="1"/>
    <col min="7943" max="8192" width="9.140625" style="18"/>
    <col min="8193" max="8193" width="8.85546875" style="18" customWidth="1"/>
    <col min="8194" max="8194" width="58.28515625" style="18" customWidth="1"/>
    <col min="8195" max="8195" width="18" style="18" customWidth="1"/>
    <col min="8196" max="8196" width="18.42578125" style="18" customWidth="1"/>
    <col min="8197" max="8197" width="19.140625" style="18" customWidth="1"/>
    <col min="8198" max="8198" width="33.140625" style="18" customWidth="1"/>
    <col min="8199" max="8448" width="9.140625" style="18"/>
    <col min="8449" max="8449" width="8.85546875" style="18" customWidth="1"/>
    <col min="8450" max="8450" width="58.28515625" style="18" customWidth="1"/>
    <col min="8451" max="8451" width="18" style="18" customWidth="1"/>
    <col min="8452" max="8452" width="18.42578125" style="18" customWidth="1"/>
    <col min="8453" max="8453" width="19.140625" style="18" customWidth="1"/>
    <col min="8454" max="8454" width="33.140625" style="18" customWidth="1"/>
    <col min="8455" max="8704" width="9.140625" style="18"/>
    <col min="8705" max="8705" width="8.85546875" style="18" customWidth="1"/>
    <col min="8706" max="8706" width="58.28515625" style="18" customWidth="1"/>
    <col min="8707" max="8707" width="18" style="18" customWidth="1"/>
    <col min="8708" max="8708" width="18.42578125" style="18" customWidth="1"/>
    <col min="8709" max="8709" width="19.140625" style="18" customWidth="1"/>
    <col min="8710" max="8710" width="33.140625" style="18" customWidth="1"/>
    <col min="8711" max="8960" width="9.140625" style="18"/>
    <col min="8961" max="8961" width="8.85546875" style="18" customWidth="1"/>
    <col min="8962" max="8962" width="58.28515625" style="18" customWidth="1"/>
    <col min="8963" max="8963" width="18" style="18" customWidth="1"/>
    <col min="8964" max="8964" width="18.42578125" style="18" customWidth="1"/>
    <col min="8965" max="8965" width="19.140625" style="18" customWidth="1"/>
    <col min="8966" max="8966" width="33.140625" style="18" customWidth="1"/>
    <col min="8967" max="9216" width="9.140625" style="18"/>
    <col min="9217" max="9217" width="8.85546875" style="18" customWidth="1"/>
    <col min="9218" max="9218" width="58.28515625" style="18" customWidth="1"/>
    <col min="9219" max="9219" width="18" style="18" customWidth="1"/>
    <col min="9220" max="9220" width="18.42578125" style="18" customWidth="1"/>
    <col min="9221" max="9221" width="19.140625" style="18" customWidth="1"/>
    <col min="9222" max="9222" width="33.140625" style="18" customWidth="1"/>
    <col min="9223" max="9472" width="9.140625" style="18"/>
    <col min="9473" max="9473" width="8.85546875" style="18" customWidth="1"/>
    <col min="9474" max="9474" width="58.28515625" style="18" customWidth="1"/>
    <col min="9475" max="9475" width="18" style="18" customWidth="1"/>
    <col min="9476" max="9476" width="18.42578125" style="18" customWidth="1"/>
    <col min="9477" max="9477" width="19.140625" style="18" customWidth="1"/>
    <col min="9478" max="9478" width="33.140625" style="18" customWidth="1"/>
    <col min="9479" max="9728" width="9.140625" style="18"/>
    <col min="9729" max="9729" width="8.85546875" style="18" customWidth="1"/>
    <col min="9730" max="9730" width="58.28515625" style="18" customWidth="1"/>
    <col min="9731" max="9731" width="18" style="18" customWidth="1"/>
    <col min="9732" max="9732" width="18.42578125" style="18" customWidth="1"/>
    <col min="9733" max="9733" width="19.140625" style="18" customWidth="1"/>
    <col min="9734" max="9734" width="33.140625" style="18" customWidth="1"/>
    <col min="9735" max="9984" width="9.140625" style="18"/>
    <col min="9985" max="9985" width="8.85546875" style="18" customWidth="1"/>
    <col min="9986" max="9986" width="58.28515625" style="18" customWidth="1"/>
    <col min="9987" max="9987" width="18" style="18" customWidth="1"/>
    <col min="9988" max="9988" width="18.42578125" style="18" customWidth="1"/>
    <col min="9989" max="9989" width="19.140625" style="18" customWidth="1"/>
    <col min="9990" max="9990" width="33.140625" style="18" customWidth="1"/>
    <col min="9991" max="10240" width="9.140625" style="18"/>
    <col min="10241" max="10241" width="8.85546875" style="18" customWidth="1"/>
    <col min="10242" max="10242" width="58.28515625" style="18" customWidth="1"/>
    <col min="10243" max="10243" width="18" style="18" customWidth="1"/>
    <col min="10244" max="10244" width="18.42578125" style="18" customWidth="1"/>
    <col min="10245" max="10245" width="19.140625" style="18" customWidth="1"/>
    <col min="10246" max="10246" width="33.140625" style="18" customWidth="1"/>
    <col min="10247" max="10496" width="9.140625" style="18"/>
    <col min="10497" max="10497" width="8.85546875" style="18" customWidth="1"/>
    <col min="10498" max="10498" width="58.28515625" style="18" customWidth="1"/>
    <col min="10499" max="10499" width="18" style="18" customWidth="1"/>
    <col min="10500" max="10500" width="18.42578125" style="18" customWidth="1"/>
    <col min="10501" max="10501" width="19.140625" style="18" customWidth="1"/>
    <col min="10502" max="10502" width="33.140625" style="18" customWidth="1"/>
    <col min="10503" max="10752" width="9.140625" style="18"/>
    <col min="10753" max="10753" width="8.85546875" style="18" customWidth="1"/>
    <col min="10754" max="10754" width="58.28515625" style="18" customWidth="1"/>
    <col min="10755" max="10755" width="18" style="18" customWidth="1"/>
    <col min="10756" max="10756" width="18.42578125" style="18" customWidth="1"/>
    <col min="10757" max="10757" width="19.140625" style="18" customWidth="1"/>
    <col min="10758" max="10758" width="33.140625" style="18" customWidth="1"/>
    <col min="10759" max="11008" width="9.140625" style="18"/>
    <col min="11009" max="11009" width="8.85546875" style="18" customWidth="1"/>
    <col min="11010" max="11010" width="58.28515625" style="18" customWidth="1"/>
    <col min="11011" max="11011" width="18" style="18" customWidth="1"/>
    <col min="11012" max="11012" width="18.42578125" style="18" customWidth="1"/>
    <col min="11013" max="11013" width="19.140625" style="18" customWidth="1"/>
    <col min="11014" max="11014" width="33.140625" style="18" customWidth="1"/>
    <col min="11015" max="11264" width="9.140625" style="18"/>
    <col min="11265" max="11265" width="8.85546875" style="18" customWidth="1"/>
    <col min="11266" max="11266" width="58.28515625" style="18" customWidth="1"/>
    <col min="11267" max="11267" width="18" style="18" customWidth="1"/>
    <col min="11268" max="11268" width="18.42578125" style="18" customWidth="1"/>
    <col min="11269" max="11269" width="19.140625" style="18" customWidth="1"/>
    <col min="11270" max="11270" width="33.140625" style="18" customWidth="1"/>
    <col min="11271" max="11520" width="9.140625" style="18"/>
    <col min="11521" max="11521" width="8.85546875" style="18" customWidth="1"/>
    <col min="11522" max="11522" width="58.28515625" style="18" customWidth="1"/>
    <col min="11523" max="11523" width="18" style="18" customWidth="1"/>
    <col min="11524" max="11524" width="18.42578125" style="18" customWidth="1"/>
    <col min="11525" max="11525" width="19.140625" style="18" customWidth="1"/>
    <col min="11526" max="11526" width="33.140625" style="18" customWidth="1"/>
    <col min="11527" max="11776" width="9.140625" style="18"/>
    <col min="11777" max="11777" width="8.85546875" style="18" customWidth="1"/>
    <col min="11778" max="11778" width="58.28515625" style="18" customWidth="1"/>
    <col min="11779" max="11779" width="18" style="18" customWidth="1"/>
    <col min="11780" max="11780" width="18.42578125" style="18" customWidth="1"/>
    <col min="11781" max="11781" width="19.140625" style="18" customWidth="1"/>
    <col min="11782" max="11782" width="33.140625" style="18" customWidth="1"/>
    <col min="11783" max="12032" width="9.140625" style="18"/>
    <col min="12033" max="12033" width="8.85546875" style="18" customWidth="1"/>
    <col min="12034" max="12034" width="58.28515625" style="18" customWidth="1"/>
    <col min="12035" max="12035" width="18" style="18" customWidth="1"/>
    <col min="12036" max="12036" width="18.42578125" style="18" customWidth="1"/>
    <col min="12037" max="12037" width="19.140625" style="18" customWidth="1"/>
    <col min="12038" max="12038" width="33.140625" style="18" customWidth="1"/>
    <col min="12039" max="12288" width="9.140625" style="18"/>
    <col min="12289" max="12289" width="8.85546875" style="18" customWidth="1"/>
    <col min="12290" max="12290" width="58.28515625" style="18" customWidth="1"/>
    <col min="12291" max="12291" width="18" style="18" customWidth="1"/>
    <col min="12292" max="12292" width="18.42578125" style="18" customWidth="1"/>
    <col min="12293" max="12293" width="19.140625" style="18" customWidth="1"/>
    <col min="12294" max="12294" width="33.140625" style="18" customWidth="1"/>
    <col min="12295" max="12544" width="9.140625" style="18"/>
    <col min="12545" max="12545" width="8.85546875" style="18" customWidth="1"/>
    <col min="12546" max="12546" width="58.28515625" style="18" customWidth="1"/>
    <col min="12547" max="12547" width="18" style="18" customWidth="1"/>
    <col min="12548" max="12548" width="18.42578125" style="18" customWidth="1"/>
    <col min="12549" max="12549" width="19.140625" style="18" customWidth="1"/>
    <col min="12550" max="12550" width="33.140625" style="18" customWidth="1"/>
    <col min="12551" max="12800" width="9.140625" style="18"/>
    <col min="12801" max="12801" width="8.85546875" style="18" customWidth="1"/>
    <col min="12802" max="12802" width="58.28515625" style="18" customWidth="1"/>
    <col min="12803" max="12803" width="18" style="18" customWidth="1"/>
    <col min="12804" max="12804" width="18.42578125" style="18" customWidth="1"/>
    <col min="12805" max="12805" width="19.140625" style="18" customWidth="1"/>
    <col min="12806" max="12806" width="33.140625" style="18" customWidth="1"/>
    <col min="12807" max="13056" width="9.140625" style="18"/>
    <col min="13057" max="13057" width="8.85546875" style="18" customWidth="1"/>
    <col min="13058" max="13058" width="58.28515625" style="18" customWidth="1"/>
    <col min="13059" max="13059" width="18" style="18" customWidth="1"/>
    <col min="13060" max="13060" width="18.42578125" style="18" customWidth="1"/>
    <col min="13061" max="13061" width="19.140625" style="18" customWidth="1"/>
    <col min="13062" max="13062" width="33.140625" style="18" customWidth="1"/>
    <col min="13063" max="13312" width="9.140625" style="18"/>
    <col min="13313" max="13313" width="8.85546875" style="18" customWidth="1"/>
    <col min="13314" max="13314" width="58.28515625" style="18" customWidth="1"/>
    <col min="13315" max="13315" width="18" style="18" customWidth="1"/>
    <col min="13316" max="13316" width="18.42578125" style="18" customWidth="1"/>
    <col min="13317" max="13317" width="19.140625" style="18" customWidth="1"/>
    <col min="13318" max="13318" width="33.140625" style="18" customWidth="1"/>
    <col min="13319" max="13568" width="9.140625" style="18"/>
    <col min="13569" max="13569" width="8.85546875" style="18" customWidth="1"/>
    <col min="13570" max="13570" width="58.28515625" style="18" customWidth="1"/>
    <col min="13571" max="13571" width="18" style="18" customWidth="1"/>
    <col min="13572" max="13572" width="18.42578125" style="18" customWidth="1"/>
    <col min="13573" max="13573" width="19.140625" style="18" customWidth="1"/>
    <col min="13574" max="13574" width="33.140625" style="18" customWidth="1"/>
    <col min="13575" max="13824" width="9.140625" style="18"/>
    <col min="13825" max="13825" width="8.85546875" style="18" customWidth="1"/>
    <col min="13826" max="13826" width="58.28515625" style="18" customWidth="1"/>
    <col min="13827" max="13827" width="18" style="18" customWidth="1"/>
    <col min="13828" max="13828" width="18.42578125" style="18" customWidth="1"/>
    <col min="13829" max="13829" width="19.140625" style="18" customWidth="1"/>
    <col min="13830" max="13830" width="33.140625" style="18" customWidth="1"/>
    <col min="13831" max="14080" width="9.140625" style="18"/>
    <col min="14081" max="14081" width="8.85546875" style="18" customWidth="1"/>
    <col min="14082" max="14082" width="58.28515625" style="18" customWidth="1"/>
    <col min="14083" max="14083" width="18" style="18" customWidth="1"/>
    <col min="14084" max="14084" width="18.42578125" style="18" customWidth="1"/>
    <col min="14085" max="14085" width="19.140625" style="18" customWidth="1"/>
    <col min="14086" max="14086" width="33.140625" style="18" customWidth="1"/>
    <col min="14087" max="14336" width="9.140625" style="18"/>
    <col min="14337" max="14337" width="8.85546875" style="18" customWidth="1"/>
    <col min="14338" max="14338" width="58.28515625" style="18" customWidth="1"/>
    <col min="14339" max="14339" width="18" style="18" customWidth="1"/>
    <col min="14340" max="14340" width="18.42578125" style="18" customWidth="1"/>
    <col min="14341" max="14341" width="19.140625" style="18" customWidth="1"/>
    <col min="14342" max="14342" width="33.140625" style="18" customWidth="1"/>
    <col min="14343" max="14592" width="9.140625" style="18"/>
    <col min="14593" max="14593" width="8.85546875" style="18" customWidth="1"/>
    <col min="14594" max="14594" width="58.28515625" style="18" customWidth="1"/>
    <col min="14595" max="14595" width="18" style="18" customWidth="1"/>
    <col min="14596" max="14596" width="18.42578125" style="18" customWidth="1"/>
    <col min="14597" max="14597" width="19.140625" style="18" customWidth="1"/>
    <col min="14598" max="14598" width="33.140625" style="18" customWidth="1"/>
    <col min="14599" max="14848" width="9.140625" style="18"/>
    <col min="14849" max="14849" width="8.85546875" style="18" customWidth="1"/>
    <col min="14850" max="14850" width="58.28515625" style="18" customWidth="1"/>
    <col min="14851" max="14851" width="18" style="18" customWidth="1"/>
    <col min="14852" max="14852" width="18.42578125" style="18" customWidth="1"/>
    <col min="14853" max="14853" width="19.140625" style="18" customWidth="1"/>
    <col min="14854" max="14854" width="33.140625" style="18" customWidth="1"/>
    <col min="14855" max="15104" width="9.140625" style="18"/>
    <col min="15105" max="15105" width="8.85546875" style="18" customWidth="1"/>
    <col min="15106" max="15106" width="58.28515625" style="18" customWidth="1"/>
    <col min="15107" max="15107" width="18" style="18" customWidth="1"/>
    <col min="15108" max="15108" width="18.42578125" style="18" customWidth="1"/>
    <col min="15109" max="15109" width="19.140625" style="18" customWidth="1"/>
    <col min="15110" max="15110" width="33.140625" style="18" customWidth="1"/>
    <col min="15111" max="15360" width="9.140625" style="18"/>
    <col min="15361" max="15361" width="8.85546875" style="18" customWidth="1"/>
    <col min="15362" max="15362" width="58.28515625" style="18" customWidth="1"/>
    <col min="15363" max="15363" width="18" style="18" customWidth="1"/>
    <col min="15364" max="15364" width="18.42578125" style="18" customWidth="1"/>
    <col min="15365" max="15365" width="19.140625" style="18" customWidth="1"/>
    <col min="15366" max="15366" width="33.140625" style="18" customWidth="1"/>
    <col min="15367" max="15616" width="9.140625" style="18"/>
    <col min="15617" max="15617" width="8.85546875" style="18" customWidth="1"/>
    <col min="15618" max="15618" width="58.28515625" style="18" customWidth="1"/>
    <col min="15619" max="15619" width="18" style="18" customWidth="1"/>
    <col min="15620" max="15620" width="18.42578125" style="18" customWidth="1"/>
    <col min="15621" max="15621" width="19.140625" style="18" customWidth="1"/>
    <col min="15622" max="15622" width="33.140625" style="18" customWidth="1"/>
    <col min="15623" max="15872" width="9.140625" style="18"/>
    <col min="15873" max="15873" width="8.85546875" style="18" customWidth="1"/>
    <col min="15874" max="15874" width="58.28515625" style="18" customWidth="1"/>
    <col min="15875" max="15875" width="18" style="18" customWidth="1"/>
    <col min="15876" max="15876" width="18.42578125" style="18" customWidth="1"/>
    <col min="15877" max="15877" width="19.140625" style="18" customWidth="1"/>
    <col min="15878" max="15878" width="33.140625" style="18" customWidth="1"/>
    <col min="15879" max="16128" width="9.140625" style="18"/>
    <col min="16129" max="16129" width="8.85546875" style="18" customWidth="1"/>
    <col min="16130" max="16130" width="58.28515625" style="18" customWidth="1"/>
    <col min="16131" max="16131" width="18" style="18" customWidth="1"/>
    <col min="16132" max="16132" width="18.42578125" style="18" customWidth="1"/>
    <col min="16133" max="16133" width="19.140625" style="18" customWidth="1"/>
    <col min="16134" max="16134" width="33.140625" style="18" customWidth="1"/>
    <col min="16135" max="16384" width="9.140625" style="18"/>
  </cols>
  <sheetData>
    <row r="1" spans="1:7" x14ac:dyDescent="0.25">
      <c r="A1" s="16"/>
      <c r="B1" s="548" t="s">
        <v>343</v>
      </c>
      <c r="C1" s="549"/>
      <c r="D1" s="549"/>
      <c r="E1" s="549"/>
      <c r="F1" s="17"/>
      <c r="G1" s="16"/>
    </row>
    <row r="3" spans="1:7" ht="15" customHeight="1" x14ac:dyDescent="0.25">
      <c r="A3" s="550" t="s">
        <v>313</v>
      </c>
      <c r="B3" s="550"/>
      <c r="C3" s="550"/>
      <c r="D3" s="550"/>
      <c r="E3" s="550"/>
    </row>
    <row r="4" spans="1:7" ht="47.25" customHeight="1" x14ac:dyDescent="0.25">
      <c r="A4" s="550"/>
      <c r="B4" s="550"/>
      <c r="C4" s="550"/>
      <c r="D4" s="550"/>
      <c r="E4" s="550"/>
    </row>
    <row r="5" spans="1:7" x14ac:dyDescent="0.25">
      <c r="B5" s="18"/>
    </row>
    <row r="6" spans="1:7" x14ac:dyDescent="0.25">
      <c r="A6" s="551" t="s">
        <v>51</v>
      </c>
      <c r="B6" s="551" t="s">
        <v>63</v>
      </c>
      <c r="C6" s="551" t="s">
        <v>314</v>
      </c>
      <c r="D6" s="551"/>
      <c r="E6" s="551"/>
    </row>
    <row r="7" spans="1:7" x14ac:dyDescent="0.25">
      <c r="A7" s="551"/>
      <c r="B7" s="551"/>
      <c r="C7" s="551" t="s">
        <v>3</v>
      </c>
      <c r="D7" s="551" t="s">
        <v>4</v>
      </c>
      <c r="E7" s="551"/>
    </row>
    <row r="8" spans="1:7" x14ac:dyDescent="0.25">
      <c r="A8" s="551"/>
      <c r="B8" s="551"/>
      <c r="C8" s="551"/>
      <c r="D8" s="113" t="s">
        <v>5</v>
      </c>
      <c r="E8" s="113" t="s">
        <v>6</v>
      </c>
    </row>
    <row r="9" spans="1:7" x14ac:dyDescent="0.25">
      <c r="A9" s="20">
        <v>1</v>
      </c>
      <c r="B9" s="21">
        <v>2</v>
      </c>
      <c r="C9" s="22">
        <v>3</v>
      </c>
      <c r="D9" s="22">
        <v>4</v>
      </c>
      <c r="E9" s="22">
        <v>5</v>
      </c>
    </row>
    <row r="10" spans="1:7" x14ac:dyDescent="0.25">
      <c r="A10" s="20">
        <v>1</v>
      </c>
      <c r="B10" s="337" t="s">
        <v>11</v>
      </c>
      <c r="C10" s="339">
        <v>13647.9</v>
      </c>
      <c r="D10" s="339">
        <v>14193.8</v>
      </c>
      <c r="E10" s="339">
        <v>14761.6</v>
      </c>
    </row>
    <row r="11" spans="1:7" x14ac:dyDescent="0.25">
      <c r="A11" s="20">
        <f>1+A10</f>
        <v>2</v>
      </c>
      <c r="B11" s="337" t="s">
        <v>12</v>
      </c>
      <c r="C11" s="339">
        <v>10348.700000000001</v>
      </c>
      <c r="D11" s="339">
        <v>10762.6</v>
      </c>
      <c r="E11" s="339">
        <v>11193.1</v>
      </c>
    </row>
    <row r="12" spans="1:7" x14ac:dyDescent="0.25">
      <c r="A12" s="20">
        <f t="shared" ref="A12:A61" si="0">1+A11</f>
        <v>3</v>
      </c>
      <c r="B12" s="337" t="s">
        <v>13</v>
      </c>
      <c r="C12" s="339">
        <v>8093.6</v>
      </c>
      <c r="D12" s="339">
        <v>8417.4</v>
      </c>
      <c r="E12" s="339">
        <v>8754</v>
      </c>
    </row>
    <row r="13" spans="1:7" x14ac:dyDescent="0.25">
      <c r="A13" s="20">
        <f t="shared" si="0"/>
        <v>4</v>
      </c>
      <c r="B13" s="337" t="s">
        <v>14</v>
      </c>
      <c r="C13" s="339">
        <v>11046.8</v>
      </c>
      <c r="D13" s="339">
        <v>11488.7</v>
      </c>
      <c r="E13" s="339">
        <v>11948.2</v>
      </c>
    </row>
    <row r="14" spans="1:7" x14ac:dyDescent="0.25">
      <c r="A14" s="20">
        <f t="shared" si="0"/>
        <v>5</v>
      </c>
      <c r="B14" s="337" t="s">
        <v>15</v>
      </c>
      <c r="C14" s="339">
        <v>12239.2</v>
      </c>
      <c r="D14" s="339">
        <v>12728.8</v>
      </c>
      <c r="E14" s="339">
        <v>13238</v>
      </c>
    </row>
    <row r="15" spans="1:7" x14ac:dyDescent="0.25">
      <c r="A15" s="20">
        <f t="shared" si="0"/>
        <v>6</v>
      </c>
      <c r="B15" s="337" t="s">
        <v>16</v>
      </c>
      <c r="C15" s="339">
        <v>10385.700000000001</v>
      </c>
      <c r="D15" s="339">
        <v>10801.2</v>
      </c>
      <c r="E15" s="339">
        <v>11233.2</v>
      </c>
    </row>
    <row r="16" spans="1:7" x14ac:dyDescent="0.25">
      <c r="A16" s="20">
        <f t="shared" si="0"/>
        <v>7</v>
      </c>
      <c r="B16" s="337" t="s">
        <v>17</v>
      </c>
      <c r="C16" s="339">
        <v>8699.1</v>
      </c>
      <c r="D16" s="339">
        <v>9047</v>
      </c>
      <c r="E16" s="339">
        <v>9408.9</v>
      </c>
    </row>
    <row r="17" spans="1:5" x14ac:dyDescent="0.25">
      <c r="A17" s="20">
        <f t="shared" si="0"/>
        <v>8</v>
      </c>
      <c r="B17" s="337" t="s">
        <v>18</v>
      </c>
      <c r="C17" s="339">
        <v>11602.9</v>
      </c>
      <c r="D17" s="339">
        <v>12067</v>
      </c>
      <c r="E17" s="339">
        <v>12549.7</v>
      </c>
    </row>
    <row r="18" spans="1:5" x14ac:dyDescent="0.25">
      <c r="A18" s="20">
        <f t="shared" si="0"/>
        <v>9</v>
      </c>
      <c r="B18" s="337" t="s">
        <v>19</v>
      </c>
      <c r="C18" s="339">
        <v>6975.3</v>
      </c>
      <c r="D18" s="339">
        <v>7254.3</v>
      </c>
      <c r="E18" s="339">
        <v>7544.5</v>
      </c>
    </row>
    <row r="19" spans="1:5" x14ac:dyDescent="0.25">
      <c r="A19" s="20">
        <f t="shared" si="0"/>
        <v>10</v>
      </c>
      <c r="B19" s="337" t="s">
        <v>20</v>
      </c>
      <c r="C19" s="339">
        <v>6913.5</v>
      </c>
      <c r="D19" s="339">
        <v>7190.1</v>
      </c>
      <c r="E19" s="339">
        <v>7477.7</v>
      </c>
    </row>
    <row r="20" spans="1:5" x14ac:dyDescent="0.25">
      <c r="A20" s="20">
        <f t="shared" si="0"/>
        <v>11</v>
      </c>
      <c r="B20" s="337" t="s">
        <v>21</v>
      </c>
      <c r="C20" s="339">
        <v>10342.5</v>
      </c>
      <c r="D20" s="339">
        <v>10756.2</v>
      </c>
      <c r="E20" s="339">
        <v>11186.4</v>
      </c>
    </row>
    <row r="21" spans="1:5" x14ac:dyDescent="0.25">
      <c r="A21" s="20">
        <f t="shared" si="0"/>
        <v>12</v>
      </c>
      <c r="B21" s="337" t="s">
        <v>22</v>
      </c>
      <c r="C21" s="339">
        <v>5467.8</v>
      </c>
      <c r="D21" s="339">
        <v>5686.5</v>
      </c>
      <c r="E21" s="339">
        <v>5914</v>
      </c>
    </row>
    <row r="22" spans="1:5" x14ac:dyDescent="0.25">
      <c r="A22" s="20">
        <f t="shared" si="0"/>
        <v>13</v>
      </c>
      <c r="B22" s="337" t="s">
        <v>23</v>
      </c>
      <c r="C22" s="339">
        <v>9792.6</v>
      </c>
      <c r="D22" s="339">
        <v>10184.4</v>
      </c>
      <c r="E22" s="339">
        <v>10591.7</v>
      </c>
    </row>
    <row r="23" spans="1:5" x14ac:dyDescent="0.25">
      <c r="A23" s="20">
        <f t="shared" si="0"/>
        <v>14</v>
      </c>
      <c r="B23" s="337" t="s">
        <v>24</v>
      </c>
      <c r="C23" s="339">
        <v>17608.2</v>
      </c>
      <c r="D23" s="339">
        <v>18312.5</v>
      </c>
      <c r="E23" s="339">
        <v>19045</v>
      </c>
    </row>
    <row r="24" spans="1:5" x14ac:dyDescent="0.25">
      <c r="A24" s="20">
        <f t="shared" si="0"/>
        <v>15</v>
      </c>
      <c r="B24" s="337" t="s">
        <v>25</v>
      </c>
      <c r="C24" s="339">
        <v>14673.5</v>
      </c>
      <c r="D24" s="339">
        <v>15260.4</v>
      </c>
      <c r="E24" s="339">
        <v>15870.9</v>
      </c>
    </row>
    <row r="25" spans="1:5" x14ac:dyDescent="0.25">
      <c r="A25" s="20">
        <f t="shared" si="0"/>
        <v>16</v>
      </c>
      <c r="B25" s="337" t="s">
        <v>26</v>
      </c>
      <c r="C25" s="339">
        <v>7970</v>
      </c>
      <c r="D25" s="339">
        <v>8288.7999999999993</v>
      </c>
      <c r="E25" s="339">
        <v>8620.4</v>
      </c>
    </row>
    <row r="26" spans="1:5" x14ac:dyDescent="0.25">
      <c r="A26" s="20">
        <f t="shared" si="0"/>
        <v>17</v>
      </c>
      <c r="B26" s="337" t="s">
        <v>315</v>
      </c>
      <c r="C26" s="339">
        <v>14624.1</v>
      </c>
      <c r="D26" s="339">
        <v>15209</v>
      </c>
      <c r="E26" s="339">
        <v>15817.4</v>
      </c>
    </row>
    <row r="27" spans="1:5" x14ac:dyDescent="0.25">
      <c r="A27" s="20">
        <f t="shared" si="0"/>
        <v>18</v>
      </c>
      <c r="B27" s="337" t="s">
        <v>28</v>
      </c>
      <c r="C27" s="339">
        <v>7580.8</v>
      </c>
      <c r="D27" s="339">
        <v>7884</v>
      </c>
      <c r="E27" s="339">
        <v>8199.4</v>
      </c>
    </row>
    <row r="28" spans="1:5" x14ac:dyDescent="0.25">
      <c r="A28" s="20">
        <f t="shared" si="0"/>
        <v>19</v>
      </c>
      <c r="B28" s="337" t="s">
        <v>29</v>
      </c>
      <c r="C28" s="339">
        <v>13993.9</v>
      </c>
      <c r="D28" s="339">
        <v>14553.6</v>
      </c>
      <c r="E28" s="339">
        <v>15135.8</v>
      </c>
    </row>
    <row r="29" spans="1:5" x14ac:dyDescent="0.25">
      <c r="A29" s="20">
        <f t="shared" si="0"/>
        <v>20</v>
      </c>
      <c r="B29" s="337" t="s">
        <v>30</v>
      </c>
      <c r="C29" s="339">
        <v>14549.9</v>
      </c>
      <c r="D29" s="339">
        <v>15131.9</v>
      </c>
      <c r="E29" s="339">
        <v>15737.2</v>
      </c>
    </row>
    <row r="30" spans="1:5" ht="37.5" x14ac:dyDescent="0.25">
      <c r="A30" s="20">
        <f t="shared" si="0"/>
        <v>21</v>
      </c>
      <c r="B30" s="337" t="s">
        <v>316</v>
      </c>
      <c r="C30" s="339">
        <v>2255.1</v>
      </c>
      <c r="D30" s="339">
        <v>2345.3000000000002</v>
      </c>
      <c r="E30" s="339">
        <v>2439.1</v>
      </c>
    </row>
    <row r="31" spans="1:5" ht="37.5" x14ac:dyDescent="0.25">
      <c r="A31" s="20">
        <f t="shared" si="0"/>
        <v>22</v>
      </c>
      <c r="B31" s="337" t="s">
        <v>317</v>
      </c>
      <c r="C31" s="339">
        <v>451</v>
      </c>
      <c r="D31" s="339">
        <v>469.1</v>
      </c>
      <c r="E31" s="339">
        <v>487.8</v>
      </c>
    </row>
    <row r="32" spans="1:5" ht="37.5" x14ac:dyDescent="0.25">
      <c r="A32" s="20">
        <f t="shared" si="0"/>
        <v>23</v>
      </c>
      <c r="B32" s="337" t="s">
        <v>318</v>
      </c>
      <c r="C32" s="339">
        <v>1248</v>
      </c>
      <c r="D32" s="339">
        <v>1297.9000000000001</v>
      </c>
      <c r="E32" s="339">
        <v>1349.9</v>
      </c>
    </row>
    <row r="33" spans="1:5" ht="37.5" x14ac:dyDescent="0.25">
      <c r="A33" s="20">
        <f t="shared" si="0"/>
        <v>24</v>
      </c>
      <c r="B33" s="337" t="s">
        <v>319</v>
      </c>
      <c r="C33" s="339">
        <v>2088.3000000000002</v>
      </c>
      <c r="D33" s="339">
        <v>2171.8000000000002</v>
      </c>
      <c r="E33" s="339">
        <v>2258.6999999999998</v>
      </c>
    </row>
    <row r="34" spans="1:5" ht="37.5" x14ac:dyDescent="0.25">
      <c r="A34" s="20">
        <f t="shared" si="0"/>
        <v>25</v>
      </c>
      <c r="B34" s="337" t="s">
        <v>320</v>
      </c>
      <c r="C34" s="339">
        <v>123.6</v>
      </c>
      <c r="D34" s="339">
        <v>128.5</v>
      </c>
      <c r="E34" s="339">
        <v>133.6</v>
      </c>
    </row>
    <row r="35" spans="1:5" x14ac:dyDescent="0.25">
      <c r="A35" s="20">
        <f t="shared" si="0"/>
        <v>26</v>
      </c>
      <c r="B35" s="337" t="s">
        <v>31</v>
      </c>
      <c r="C35" s="339">
        <v>7778.5</v>
      </c>
      <c r="D35" s="339">
        <v>8089.6</v>
      </c>
      <c r="E35" s="339">
        <v>8413.2000000000007</v>
      </c>
    </row>
    <row r="36" spans="1:5" x14ac:dyDescent="0.25">
      <c r="A36" s="20">
        <f t="shared" si="0"/>
        <v>27</v>
      </c>
      <c r="B36" s="337" t="s">
        <v>32</v>
      </c>
      <c r="C36" s="339">
        <v>3200.4</v>
      </c>
      <c r="D36" s="339">
        <v>3328.4</v>
      </c>
      <c r="E36" s="339">
        <v>3461.5</v>
      </c>
    </row>
    <row r="37" spans="1:5" x14ac:dyDescent="0.25">
      <c r="A37" s="20">
        <f t="shared" si="0"/>
        <v>28</v>
      </c>
      <c r="B37" s="337" t="s">
        <v>33</v>
      </c>
      <c r="C37" s="339">
        <v>10898.6</v>
      </c>
      <c r="D37" s="339">
        <v>11334.5</v>
      </c>
      <c r="E37" s="339">
        <v>11787.8</v>
      </c>
    </row>
    <row r="38" spans="1:5" x14ac:dyDescent="0.25">
      <c r="A38" s="20">
        <f t="shared" si="0"/>
        <v>29</v>
      </c>
      <c r="B38" s="337" t="s">
        <v>34</v>
      </c>
      <c r="C38" s="339">
        <v>3113.9</v>
      </c>
      <c r="D38" s="339">
        <v>3238.5</v>
      </c>
      <c r="E38" s="339">
        <v>3368</v>
      </c>
    </row>
    <row r="39" spans="1:5" ht="37.5" x14ac:dyDescent="0.25">
      <c r="A39" s="20">
        <f t="shared" si="0"/>
        <v>30</v>
      </c>
      <c r="B39" s="337" t="s">
        <v>321</v>
      </c>
      <c r="C39" s="339">
        <v>463.4</v>
      </c>
      <c r="D39" s="339">
        <v>481.9</v>
      </c>
      <c r="E39" s="339">
        <v>501.2</v>
      </c>
    </row>
    <row r="40" spans="1:5" ht="37.5" x14ac:dyDescent="0.25">
      <c r="A40" s="20">
        <f t="shared" si="0"/>
        <v>31</v>
      </c>
      <c r="B40" s="337" t="s">
        <v>322</v>
      </c>
      <c r="C40" s="339">
        <v>790.8</v>
      </c>
      <c r="D40" s="339">
        <v>822.5</v>
      </c>
      <c r="E40" s="339">
        <v>855.4</v>
      </c>
    </row>
    <row r="41" spans="1:5" ht="37.5" x14ac:dyDescent="0.25">
      <c r="A41" s="20">
        <f t="shared" si="0"/>
        <v>32</v>
      </c>
      <c r="B41" s="337" t="s">
        <v>323</v>
      </c>
      <c r="C41" s="339">
        <v>926.8</v>
      </c>
      <c r="D41" s="339">
        <v>963.8</v>
      </c>
      <c r="E41" s="339">
        <v>1002.4</v>
      </c>
    </row>
    <row r="42" spans="1:5" ht="37.5" x14ac:dyDescent="0.25">
      <c r="A42" s="20">
        <f t="shared" si="0"/>
        <v>33</v>
      </c>
      <c r="B42" s="337" t="s">
        <v>324</v>
      </c>
      <c r="C42" s="339">
        <v>1445.7</v>
      </c>
      <c r="D42" s="339">
        <v>1503.6</v>
      </c>
      <c r="E42" s="339">
        <v>1563.7</v>
      </c>
    </row>
    <row r="43" spans="1:5" x14ac:dyDescent="0.25">
      <c r="A43" s="20">
        <f t="shared" si="0"/>
        <v>34</v>
      </c>
      <c r="B43" s="337" t="s">
        <v>35</v>
      </c>
      <c r="C43" s="339">
        <v>7086.5</v>
      </c>
      <c r="D43" s="339">
        <v>7370</v>
      </c>
      <c r="E43" s="339">
        <v>7664.8</v>
      </c>
    </row>
    <row r="44" spans="1:5" x14ac:dyDescent="0.25">
      <c r="A44" s="20">
        <f t="shared" si="0"/>
        <v>35</v>
      </c>
      <c r="B44" s="337" t="s">
        <v>36</v>
      </c>
      <c r="C44" s="339">
        <v>14389.3</v>
      </c>
      <c r="D44" s="339">
        <v>14964.9</v>
      </c>
      <c r="E44" s="339">
        <v>15563.4</v>
      </c>
    </row>
    <row r="45" spans="1:5" x14ac:dyDescent="0.25">
      <c r="A45" s="20">
        <f t="shared" si="0"/>
        <v>36</v>
      </c>
      <c r="B45" s="337" t="s">
        <v>37</v>
      </c>
      <c r="C45" s="339">
        <v>16008</v>
      </c>
      <c r="D45" s="339">
        <v>16648.3</v>
      </c>
      <c r="E45" s="339">
        <v>17314.3</v>
      </c>
    </row>
    <row r="46" spans="1:5" x14ac:dyDescent="0.25">
      <c r="A46" s="20">
        <f t="shared" si="0"/>
        <v>37</v>
      </c>
      <c r="B46" s="337" t="s">
        <v>38</v>
      </c>
      <c r="C46" s="339">
        <v>5424.6</v>
      </c>
      <c r="D46" s="339">
        <v>5641.5</v>
      </c>
      <c r="E46" s="339">
        <v>5867.2</v>
      </c>
    </row>
    <row r="47" spans="1:5" x14ac:dyDescent="0.25">
      <c r="A47" s="20">
        <f t="shared" si="0"/>
        <v>38</v>
      </c>
      <c r="B47" s="337" t="s">
        <v>39</v>
      </c>
      <c r="C47" s="339">
        <v>10398.1</v>
      </c>
      <c r="D47" s="339">
        <v>10814</v>
      </c>
      <c r="E47" s="339">
        <v>11246.6</v>
      </c>
    </row>
    <row r="48" spans="1:5" x14ac:dyDescent="0.25">
      <c r="A48" s="20">
        <f t="shared" si="0"/>
        <v>39</v>
      </c>
      <c r="B48" s="337" t="s">
        <v>40</v>
      </c>
      <c r="C48" s="339">
        <v>8851.7000000000007</v>
      </c>
      <c r="D48" s="339">
        <v>9205.7000000000007</v>
      </c>
      <c r="E48" s="339">
        <v>9574</v>
      </c>
    </row>
    <row r="49" spans="1:6" x14ac:dyDescent="0.25">
      <c r="A49" s="20">
        <f t="shared" si="0"/>
        <v>40</v>
      </c>
      <c r="B49" s="337" t="s">
        <v>41</v>
      </c>
      <c r="C49" s="339">
        <v>10379.6</v>
      </c>
      <c r="D49" s="339">
        <v>10794.8</v>
      </c>
      <c r="E49" s="339">
        <v>11226.5</v>
      </c>
    </row>
    <row r="50" spans="1:6" x14ac:dyDescent="0.25">
      <c r="A50" s="20">
        <f t="shared" si="0"/>
        <v>41</v>
      </c>
      <c r="B50" s="337" t="s">
        <v>42</v>
      </c>
      <c r="C50" s="339">
        <v>7333.7</v>
      </c>
      <c r="D50" s="339">
        <v>7627</v>
      </c>
      <c r="E50" s="339">
        <v>7932.1</v>
      </c>
    </row>
    <row r="51" spans="1:6" ht="37.5" x14ac:dyDescent="0.25">
      <c r="A51" s="20">
        <f t="shared" si="0"/>
        <v>42</v>
      </c>
      <c r="B51" s="337" t="s">
        <v>325</v>
      </c>
      <c r="C51" s="339">
        <v>2119.1999999999998</v>
      </c>
      <c r="D51" s="339">
        <v>2203.9</v>
      </c>
      <c r="E51" s="339">
        <v>2292.1</v>
      </c>
    </row>
    <row r="52" spans="1:6" ht="37.5" x14ac:dyDescent="0.25">
      <c r="A52" s="20">
        <f t="shared" si="0"/>
        <v>43</v>
      </c>
      <c r="B52" s="337" t="s">
        <v>326</v>
      </c>
      <c r="C52" s="339">
        <v>457.2</v>
      </c>
      <c r="D52" s="339">
        <v>475.5</v>
      </c>
      <c r="E52" s="339">
        <v>494.5</v>
      </c>
    </row>
    <row r="53" spans="1:6" ht="37.5" x14ac:dyDescent="0.25">
      <c r="A53" s="20">
        <f t="shared" si="0"/>
        <v>44</v>
      </c>
      <c r="B53" s="337" t="s">
        <v>327</v>
      </c>
      <c r="C53" s="339">
        <v>3132.4</v>
      </c>
      <c r="D53" s="339">
        <v>3257.7</v>
      </c>
      <c r="E53" s="339">
        <v>3388</v>
      </c>
    </row>
    <row r="54" spans="1:6" ht="37.5" x14ac:dyDescent="0.25">
      <c r="A54" s="20">
        <f t="shared" si="0"/>
        <v>45</v>
      </c>
      <c r="B54" s="337" t="s">
        <v>328</v>
      </c>
      <c r="C54" s="339">
        <v>2582.5</v>
      </c>
      <c r="D54" s="339">
        <v>2685.8</v>
      </c>
      <c r="E54" s="339">
        <v>2793.3</v>
      </c>
    </row>
    <row r="55" spans="1:6" ht="37.5" x14ac:dyDescent="0.25">
      <c r="A55" s="20">
        <f t="shared" si="0"/>
        <v>46</v>
      </c>
      <c r="B55" s="337" t="s">
        <v>329</v>
      </c>
      <c r="C55" s="339">
        <v>4942.6000000000004</v>
      </c>
      <c r="D55" s="339">
        <v>5140.3999999999996</v>
      </c>
      <c r="E55" s="339">
        <v>5346</v>
      </c>
    </row>
    <row r="56" spans="1:6" ht="37.5" x14ac:dyDescent="0.25">
      <c r="A56" s="20">
        <f t="shared" si="0"/>
        <v>47</v>
      </c>
      <c r="B56" s="337" t="s">
        <v>330</v>
      </c>
      <c r="C56" s="339">
        <v>1668.2</v>
      </c>
      <c r="D56" s="339">
        <v>1734.9</v>
      </c>
      <c r="E56" s="339">
        <v>1804.3</v>
      </c>
    </row>
    <row r="57" spans="1:6" ht="37.5" x14ac:dyDescent="0.25">
      <c r="A57" s="20">
        <f t="shared" si="0"/>
        <v>48</v>
      </c>
      <c r="B57" s="337" t="s">
        <v>331</v>
      </c>
      <c r="C57" s="339">
        <v>2872.9</v>
      </c>
      <c r="D57" s="339">
        <v>2987.9</v>
      </c>
      <c r="E57" s="339">
        <v>3107.3</v>
      </c>
    </row>
    <row r="58" spans="1:6" x14ac:dyDescent="0.25">
      <c r="A58" s="20">
        <f t="shared" si="0"/>
        <v>49</v>
      </c>
      <c r="B58" s="337" t="s">
        <v>44</v>
      </c>
      <c r="C58" s="339">
        <v>25164.3</v>
      </c>
      <c r="D58" s="339">
        <v>26170.9</v>
      </c>
      <c r="E58" s="339">
        <v>27217.7</v>
      </c>
    </row>
    <row r="59" spans="1:6" x14ac:dyDescent="0.25">
      <c r="A59" s="20">
        <f t="shared" si="0"/>
        <v>50</v>
      </c>
      <c r="B59" s="337" t="s">
        <v>45</v>
      </c>
      <c r="C59" s="339">
        <v>17373.400000000001</v>
      </c>
      <c r="D59" s="339">
        <v>18068.400000000001</v>
      </c>
      <c r="E59" s="339">
        <v>18791.099999999999</v>
      </c>
    </row>
    <row r="60" spans="1:6" x14ac:dyDescent="0.25">
      <c r="A60" s="20">
        <f t="shared" si="0"/>
        <v>51</v>
      </c>
      <c r="B60" s="337" t="s">
        <v>46</v>
      </c>
      <c r="C60" s="339">
        <v>6054.7</v>
      </c>
      <c r="D60" s="339">
        <v>6296.9</v>
      </c>
      <c r="E60" s="339">
        <v>6548.8</v>
      </c>
    </row>
    <row r="61" spans="1:6" x14ac:dyDescent="0.25">
      <c r="A61" s="20">
        <f t="shared" si="0"/>
        <v>52</v>
      </c>
      <c r="B61" s="337" t="s">
        <v>48</v>
      </c>
      <c r="C61" s="339">
        <v>1785.4</v>
      </c>
      <c r="D61" s="339">
        <v>1856.8</v>
      </c>
      <c r="E61" s="339">
        <v>1931</v>
      </c>
    </row>
    <row r="62" spans="1:6" s="25" customFormat="1" x14ac:dyDescent="0.25">
      <c r="A62" s="23"/>
      <c r="B62" s="338" t="s">
        <v>65</v>
      </c>
      <c r="C62" s="340">
        <f>SUM(C10:C61)</f>
        <v>399364.4</v>
      </c>
      <c r="D62" s="340">
        <f>SUM(D10:D61)</f>
        <v>415338.90000000014</v>
      </c>
      <c r="E62" s="340">
        <f>SUM(E10:E61)</f>
        <v>431952.39999999991</v>
      </c>
      <c r="F62" s="24"/>
    </row>
  </sheetData>
  <mergeCells count="7">
    <mergeCell ref="B1:E1"/>
    <mergeCell ref="A3:E4"/>
    <mergeCell ref="A6:A8"/>
    <mergeCell ref="B6:B8"/>
    <mergeCell ref="C6:E6"/>
    <mergeCell ref="C7:C8"/>
    <mergeCell ref="D7:E7"/>
  </mergeCells>
  <printOptions horizontalCentered="1"/>
  <pageMargins left="0.59055118110236227" right="0.39370078740157483" top="0.39370078740157483" bottom="0.39370078740157483" header="0" footer="0"/>
  <pageSetup paperSize="9" scale="73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50"/>
  <sheetViews>
    <sheetView view="pageBreakPreview" zoomScaleNormal="100" zoomScaleSheetLayoutView="100" workbookViewId="0">
      <selection activeCell="B8" sqref="B8"/>
    </sheetView>
  </sheetViews>
  <sheetFormatPr defaultRowHeight="18.75" x14ac:dyDescent="0.25"/>
  <cols>
    <col min="1" max="1" width="4.7109375" style="159" customWidth="1"/>
    <col min="2" max="2" width="61.7109375" style="159" customWidth="1"/>
    <col min="3" max="3" width="17.28515625" style="198" customWidth="1"/>
    <col min="4" max="4" width="9.140625" style="159"/>
    <col min="5" max="5" width="68.140625" style="159" customWidth="1"/>
    <col min="6" max="256" width="9.140625" style="159"/>
    <col min="257" max="257" width="4.7109375" style="159" customWidth="1"/>
    <col min="258" max="258" width="57.7109375" style="159" customWidth="1"/>
    <col min="259" max="259" width="17.28515625" style="159" customWidth="1"/>
    <col min="260" max="512" width="9.140625" style="159"/>
    <col min="513" max="513" width="4.7109375" style="159" customWidth="1"/>
    <col min="514" max="514" width="57.7109375" style="159" customWidth="1"/>
    <col min="515" max="515" width="17.28515625" style="159" customWidth="1"/>
    <col min="516" max="768" width="9.140625" style="159"/>
    <col min="769" max="769" width="4.7109375" style="159" customWidth="1"/>
    <col min="770" max="770" width="57.7109375" style="159" customWidth="1"/>
    <col min="771" max="771" width="17.28515625" style="159" customWidth="1"/>
    <col min="772" max="1024" width="9.140625" style="159"/>
    <col min="1025" max="1025" width="4.7109375" style="159" customWidth="1"/>
    <col min="1026" max="1026" width="57.7109375" style="159" customWidth="1"/>
    <col min="1027" max="1027" width="17.28515625" style="159" customWidth="1"/>
    <col min="1028" max="1280" width="9.140625" style="159"/>
    <col min="1281" max="1281" width="4.7109375" style="159" customWidth="1"/>
    <col min="1282" max="1282" width="57.7109375" style="159" customWidth="1"/>
    <col min="1283" max="1283" width="17.28515625" style="159" customWidth="1"/>
    <col min="1284" max="1536" width="9.140625" style="159"/>
    <col min="1537" max="1537" width="4.7109375" style="159" customWidth="1"/>
    <col min="1538" max="1538" width="57.7109375" style="159" customWidth="1"/>
    <col min="1539" max="1539" width="17.28515625" style="159" customWidth="1"/>
    <col min="1540" max="1792" width="9.140625" style="159"/>
    <col min="1793" max="1793" width="4.7109375" style="159" customWidth="1"/>
    <col min="1794" max="1794" width="57.7109375" style="159" customWidth="1"/>
    <col min="1795" max="1795" width="17.28515625" style="159" customWidth="1"/>
    <col min="1796" max="2048" width="9.140625" style="159"/>
    <col min="2049" max="2049" width="4.7109375" style="159" customWidth="1"/>
    <col min="2050" max="2050" width="57.7109375" style="159" customWidth="1"/>
    <col min="2051" max="2051" width="17.28515625" style="159" customWidth="1"/>
    <col min="2052" max="2304" width="9.140625" style="159"/>
    <col min="2305" max="2305" width="4.7109375" style="159" customWidth="1"/>
    <col min="2306" max="2306" width="57.7109375" style="159" customWidth="1"/>
    <col min="2307" max="2307" width="17.28515625" style="159" customWidth="1"/>
    <col min="2308" max="2560" width="9.140625" style="159"/>
    <col min="2561" max="2561" width="4.7109375" style="159" customWidth="1"/>
    <col min="2562" max="2562" width="57.7109375" style="159" customWidth="1"/>
    <col min="2563" max="2563" width="17.28515625" style="159" customWidth="1"/>
    <col min="2564" max="2816" width="9.140625" style="159"/>
    <col min="2817" max="2817" width="4.7109375" style="159" customWidth="1"/>
    <col min="2818" max="2818" width="57.7109375" style="159" customWidth="1"/>
    <col min="2819" max="2819" width="17.28515625" style="159" customWidth="1"/>
    <col min="2820" max="3072" width="9.140625" style="159"/>
    <col min="3073" max="3073" width="4.7109375" style="159" customWidth="1"/>
    <col min="3074" max="3074" width="57.7109375" style="159" customWidth="1"/>
    <col min="3075" max="3075" width="17.28515625" style="159" customWidth="1"/>
    <col min="3076" max="3328" width="9.140625" style="159"/>
    <col min="3329" max="3329" width="4.7109375" style="159" customWidth="1"/>
    <col min="3330" max="3330" width="57.7109375" style="159" customWidth="1"/>
    <col min="3331" max="3331" width="17.28515625" style="159" customWidth="1"/>
    <col min="3332" max="3584" width="9.140625" style="159"/>
    <col min="3585" max="3585" width="4.7109375" style="159" customWidth="1"/>
    <col min="3586" max="3586" width="57.7109375" style="159" customWidth="1"/>
    <col min="3587" max="3587" width="17.28515625" style="159" customWidth="1"/>
    <col min="3588" max="3840" width="9.140625" style="159"/>
    <col min="3841" max="3841" width="4.7109375" style="159" customWidth="1"/>
    <col min="3842" max="3842" width="57.7109375" style="159" customWidth="1"/>
    <col min="3843" max="3843" width="17.28515625" style="159" customWidth="1"/>
    <col min="3844" max="4096" width="9.140625" style="159"/>
    <col min="4097" max="4097" width="4.7109375" style="159" customWidth="1"/>
    <col min="4098" max="4098" width="57.7109375" style="159" customWidth="1"/>
    <col min="4099" max="4099" width="17.28515625" style="159" customWidth="1"/>
    <col min="4100" max="4352" width="9.140625" style="159"/>
    <col min="4353" max="4353" width="4.7109375" style="159" customWidth="1"/>
    <col min="4354" max="4354" width="57.7109375" style="159" customWidth="1"/>
    <col min="4355" max="4355" width="17.28515625" style="159" customWidth="1"/>
    <col min="4356" max="4608" width="9.140625" style="159"/>
    <col min="4609" max="4609" width="4.7109375" style="159" customWidth="1"/>
    <col min="4610" max="4610" width="57.7109375" style="159" customWidth="1"/>
    <col min="4611" max="4611" width="17.28515625" style="159" customWidth="1"/>
    <col min="4612" max="4864" width="9.140625" style="159"/>
    <col min="4865" max="4865" width="4.7109375" style="159" customWidth="1"/>
    <col min="4866" max="4866" width="57.7109375" style="159" customWidth="1"/>
    <col min="4867" max="4867" width="17.28515625" style="159" customWidth="1"/>
    <col min="4868" max="5120" width="9.140625" style="159"/>
    <col min="5121" max="5121" width="4.7109375" style="159" customWidth="1"/>
    <col min="5122" max="5122" width="57.7109375" style="159" customWidth="1"/>
    <col min="5123" max="5123" width="17.28515625" style="159" customWidth="1"/>
    <col min="5124" max="5376" width="9.140625" style="159"/>
    <col min="5377" max="5377" width="4.7109375" style="159" customWidth="1"/>
    <col min="5378" max="5378" width="57.7109375" style="159" customWidth="1"/>
    <col min="5379" max="5379" width="17.28515625" style="159" customWidth="1"/>
    <col min="5380" max="5632" width="9.140625" style="159"/>
    <col min="5633" max="5633" width="4.7109375" style="159" customWidth="1"/>
    <col min="5634" max="5634" width="57.7109375" style="159" customWidth="1"/>
    <col min="5635" max="5635" width="17.28515625" style="159" customWidth="1"/>
    <col min="5636" max="5888" width="9.140625" style="159"/>
    <col min="5889" max="5889" width="4.7109375" style="159" customWidth="1"/>
    <col min="5890" max="5890" width="57.7109375" style="159" customWidth="1"/>
    <col min="5891" max="5891" width="17.28515625" style="159" customWidth="1"/>
    <col min="5892" max="6144" width="9.140625" style="159"/>
    <col min="6145" max="6145" width="4.7109375" style="159" customWidth="1"/>
    <col min="6146" max="6146" width="57.7109375" style="159" customWidth="1"/>
    <col min="6147" max="6147" width="17.28515625" style="159" customWidth="1"/>
    <col min="6148" max="6400" width="9.140625" style="159"/>
    <col min="6401" max="6401" width="4.7109375" style="159" customWidth="1"/>
    <col min="6402" max="6402" width="57.7109375" style="159" customWidth="1"/>
    <col min="6403" max="6403" width="17.28515625" style="159" customWidth="1"/>
    <col min="6404" max="6656" width="9.140625" style="159"/>
    <col min="6657" max="6657" width="4.7109375" style="159" customWidth="1"/>
    <col min="6658" max="6658" width="57.7109375" style="159" customWidth="1"/>
    <col min="6659" max="6659" width="17.28515625" style="159" customWidth="1"/>
    <col min="6660" max="6912" width="9.140625" style="159"/>
    <col min="6913" max="6913" width="4.7109375" style="159" customWidth="1"/>
    <col min="6914" max="6914" width="57.7109375" style="159" customWidth="1"/>
    <col min="6915" max="6915" width="17.28515625" style="159" customWidth="1"/>
    <col min="6916" max="7168" width="9.140625" style="159"/>
    <col min="7169" max="7169" width="4.7109375" style="159" customWidth="1"/>
    <col min="7170" max="7170" width="57.7109375" style="159" customWidth="1"/>
    <col min="7171" max="7171" width="17.28515625" style="159" customWidth="1"/>
    <col min="7172" max="7424" width="9.140625" style="159"/>
    <col min="7425" max="7425" width="4.7109375" style="159" customWidth="1"/>
    <col min="7426" max="7426" width="57.7109375" style="159" customWidth="1"/>
    <col min="7427" max="7427" width="17.28515625" style="159" customWidth="1"/>
    <col min="7428" max="7680" width="9.140625" style="159"/>
    <col min="7681" max="7681" width="4.7109375" style="159" customWidth="1"/>
    <col min="7682" max="7682" width="57.7109375" style="159" customWidth="1"/>
    <col min="7683" max="7683" width="17.28515625" style="159" customWidth="1"/>
    <col min="7684" max="7936" width="9.140625" style="159"/>
    <col min="7937" max="7937" width="4.7109375" style="159" customWidth="1"/>
    <col min="7938" max="7938" width="57.7109375" style="159" customWidth="1"/>
    <col min="7939" max="7939" width="17.28515625" style="159" customWidth="1"/>
    <col min="7940" max="8192" width="9.140625" style="159"/>
    <col min="8193" max="8193" width="4.7109375" style="159" customWidth="1"/>
    <col min="8194" max="8194" width="57.7109375" style="159" customWidth="1"/>
    <col min="8195" max="8195" width="17.28515625" style="159" customWidth="1"/>
    <col min="8196" max="8448" width="9.140625" style="159"/>
    <col min="8449" max="8449" width="4.7109375" style="159" customWidth="1"/>
    <col min="8450" max="8450" width="57.7109375" style="159" customWidth="1"/>
    <col min="8451" max="8451" width="17.28515625" style="159" customWidth="1"/>
    <col min="8452" max="8704" width="9.140625" style="159"/>
    <col min="8705" max="8705" width="4.7109375" style="159" customWidth="1"/>
    <col min="8706" max="8706" width="57.7109375" style="159" customWidth="1"/>
    <col min="8707" max="8707" width="17.28515625" style="159" customWidth="1"/>
    <col min="8708" max="8960" width="9.140625" style="159"/>
    <col min="8961" max="8961" width="4.7109375" style="159" customWidth="1"/>
    <col min="8962" max="8962" width="57.7109375" style="159" customWidth="1"/>
    <col min="8963" max="8963" width="17.28515625" style="159" customWidth="1"/>
    <col min="8964" max="9216" width="9.140625" style="159"/>
    <col min="9217" max="9217" width="4.7109375" style="159" customWidth="1"/>
    <col min="9218" max="9218" width="57.7109375" style="159" customWidth="1"/>
    <col min="9219" max="9219" width="17.28515625" style="159" customWidth="1"/>
    <col min="9220" max="9472" width="9.140625" style="159"/>
    <col min="9473" max="9473" width="4.7109375" style="159" customWidth="1"/>
    <col min="9474" max="9474" width="57.7109375" style="159" customWidth="1"/>
    <col min="9475" max="9475" width="17.28515625" style="159" customWidth="1"/>
    <col min="9476" max="9728" width="9.140625" style="159"/>
    <col min="9729" max="9729" width="4.7109375" style="159" customWidth="1"/>
    <col min="9730" max="9730" width="57.7109375" style="159" customWidth="1"/>
    <col min="9731" max="9731" width="17.28515625" style="159" customWidth="1"/>
    <col min="9732" max="9984" width="9.140625" style="159"/>
    <col min="9985" max="9985" width="4.7109375" style="159" customWidth="1"/>
    <col min="9986" max="9986" width="57.7109375" style="159" customWidth="1"/>
    <col min="9987" max="9987" width="17.28515625" style="159" customWidth="1"/>
    <col min="9988" max="10240" width="9.140625" style="159"/>
    <col min="10241" max="10241" width="4.7109375" style="159" customWidth="1"/>
    <col min="10242" max="10242" width="57.7109375" style="159" customWidth="1"/>
    <col min="10243" max="10243" width="17.28515625" style="159" customWidth="1"/>
    <col min="10244" max="10496" width="9.140625" style="159"/>
    <col min="10497" max="10497" width="4.7109375" style="159" customWidth="1"/>
    <col min="10498" max="10498" width="57.7109375" style="159" customWidth="1"/>
    <col min="10499" max="10499" width="17.28515625" style="159" customWidth="1"/>
    <col min="10500" max="10752" width="9.140625" style="159"/>
    <col min="10753" max="10753" width="4.7109375" style="159" customWidth="1"/>
    <col min="10754" max="10754" width="57.7109375" style="159" customWidth="1"/>
    <col min="10755" max="10755" width="17.28515625" style="159" customWidth="1"/>
    <col min="10756" max="11008" width="9.140625" style="159"/>
    <col min="11009" max="11009" width="4.7109375" style="159" customWidth="1"/>
    <col min="11010" max="11010" width="57.7109375" style="159" customWidth="1"/>
    <col min="11011" max="11011" width="17.28515625" style="159" customWidth="1"/>
    <col min="11012" max="11264" width="9.140625" style="159"/>
    <col min="11265" max="11265" width="4.7109375" style="159" customWidth="1"/>
    <col min="11266" max="11266" width="57.7109375" style="159" customWidth="1"/>
    <col min="11267" max="11267" width="17.28515625" style="159" customWidth="1"/>
    <col min="11268" max="11520" width="9.140625" style="159"/>
    <col min="11521" max="11521" width="4.7109375" style="159" customWidth="1"/>
    <col min="11522" max="11522" width="57.7109375" style="159" customWidth="1"/>
    <col min="11523" max="11523" width="17.28515625" style="159" customWidth="1"/>
    <col min="11524" max="11776" width="9.140625" style="159"/>
    <col min="11777" max="11777" width="4.7109375" style="159" customWidth="1"/>
    <col min="11778" max="11778" width="57.7109375" style="159" customWidth="1"/>
    <col min="11779" max="11779" width="17.28515625" style="159" customWidth="1"/>
    <col min="11780" max="12032" width="9.140625" style="159"/>
    <col min="12033" max="12033" width="4.7109375" style="159" customWidth="1"/>
    <col min="12034" max="12034" width="57.7109375" style="159" customWidth="1"/>
    <col min="12035" max="12035" width="17.28515625" style="159" customWidth="1"/>
    <col min="12036" max="12288" width="9.140625" style="159"/>
    <col min="12289" max="12289" width="4.7109375" style="159" customWidth="1"/>
    <col min="12290" max="12290" width="57.7109375" style="159" customWidth="1"/>
    <col min="12291" max="12291" width="17.28515625" style="159" customWidth="1"/>
    <col min="12292" max="12544" width="9.140625" style="159"/>
    <col min="12545" max="12545" width="4.7109375" style="159" customWidth="1"/>
    <col min="12546" max="12546" width="57.7109375" style="159" customWidth="1"/>
    <col min="12547" max="12547" width="17.28515625" style="159" customWidth="1"/>
    <col min="12548" max="12800" width="9.140625" style="159"/>
    <col min="12801" max="12801" width="4.7109375" style="159" customWidth="1"/>
    <col min="12802" max="12802" width="57.7109375" style="159" customWidth="1"/>
    <col min="12803" max="12803" width="17.28515625" style="159" customWidth="1"/>
    <col min="12804" max="13056" width="9.140625" style="159"/>
    <col min="13057" max="13057" width="4.7109375" style="159" customWidth="1"/>
    <col min="13058" max="13058" width="57.7109375" style="159" customWidth="1"/>
    <col min="13059" max="13059" width="17.28515625" style="159" customWidth="1"/>
    <col min="13060" max="13312" width="9.140625" style="159"/>
    <col min="13313" max="13313" width="4.7109375" style="159" customWidth="1"/>
    <col min="13314" max="13314" width="57.7109375" style="159" customWidth="1"/>
    <col min="13315" max="13315" width="17.28515625" style="159" customWidth="1"/>
    <col min="13316" max="13568" width="9.140625" style="159"/>
    <col min="13569" max="13569" width="4.7109375" style="159" customWidth="1"/>
    <col min="13570" max="13570" width="57.7109375" style="159" customWidth="1"/>
    <col min="13571" max="13571" width="17.28515625" style="159" customWidth="1"/>
    <col min="13572" max="13824" width="9.140625" style="159"/>
    <col min="13825" max="13825" width="4.7109375" style="159" customWidth="1"/>
    <col min="13826" max="13826" width="57.7109375" style="159" customWidth="1"/>
    <col min="13827" max="13827" width="17.28515625" style="159" customWidth="1"/>
    <col min="13828" max="14080" width="9.140625" style="159"/>
    <col min="14081" max="14081" width="4.7109375" style="159" customWidth="1"/>
    <col min="14082" max="14082" width="57.7109375" style="159" customWidth="1"/>
    <col min="14083" max="14083" width="17.28515625" style="159" customWidth="1"/>
    <col min="14084" max="14336" width="9.140625" style="159"/>
    <col min="14337" max="14337" width="4.7109375" style="159" customWidth="1"/>
    <col min="14338" max="14338" width="57.7109375" style="159" customWidth="1"/>
    <col min="14339" max="14339" width="17.28515625" style="159" customWidth="1"/>
    <col min="14340" max="14592" width="9.140625" style="159"/>
    <col min="14593" max="14593" width="4.7109375" style="159" customWidth="1"/>
    <col min="14594" max="14594" width="57.7109375" style="159" customWidth="1"/>
    <col min="14595" max="14595" width="17.28515625" style="159" customWidth="1"/>
    <col min="14596" max="14848" width="9.140625" style="159"/>
    <col min="14849" max="14849" width="4.7109375" style="159" customWidth="1"/>
    <col min="14850" max="14850" width="57.7109375" style="159" customWidth="1"/>
    <col min="14851" max="14851" width="17.28515625" style="159" customWidth="1"/>
    <col min="14852" max="15104" width="9.140625" style="159"/>
    <col min="15105" max="15105" width="4.7109375" style="159" customWidth="1"/>
    <col min="15106" max="15106" width="57.7109375" style="159" customWidth="1"/>
    <col min="15107" max="15107" width="17.28515625" style="159" customWidth="1"/>
    <col min="15108" max="15360" width="9.140625" style="159"/>
    <col min="15361" max="15361" width="4.7109375" style="159" customWidth="1"/>
    <col min="15362" max="15362" width="57.7109375" style="159" customWidth="1"/>
    <col min="15363" max="15363" width="17.28515625" style="159" customWidth="1"/>
    <col min="15364" max="15616" width="9.140625" style="159"/>
    <col min="15617" max="15617" width="4.7109375" style="159" customWidth="1"/>
    <col min="15618" max="15618" width="57.7109375" style="159" customWidth="1"/>
    <col min="15619" max="15619" width="17.28515625" style="159" customWidth="1"/>
    <col min="15620" max="15872" width="9.140625" style="159"/>
    <col min="15873" max="15873" width="4.7109375" style="159" customWidth="1"/>
    <col min="15874" max="15874" width="57.7109375" style="159" customWidth="1"/>
    <col min="15875" max="15875" width="17.28515625" style="159" customWidth="1"/>
    <col min="15876" max="16128" width="9.140625" style="159"/>
    <col min="16129" max="16129" width="4.7109375" style="159" customWidth="1"/>
    <col min="16130" max="16130" width="57.7109375" style="159" customWidth="1"/>
    <col min="16131" max="16131" width="17.28515625" style="159" customWidth="1"/>
    <col min="16132" max="16384" width="9.140625" style="159"/>
  </cols>
  <sheetData>
    <row r="1" spans="1:3" ht="0.75" customHeight="1" x14ac:dyDescent="0.25">
      <c r="A1" s="514"/>
      <c r="B1" s="514"/>
      <c r="C1" s="514"/>
    </row>
    <row r="2" spans="1:3" x14ac:dyDescent="0.25">
      <c r="A2" s="492" t="s">
        <v>342</v>
      </c>
      <c r="B2" s="492"/>
      <c r="C2" s="492"/>
    </row>
    <row r="3" spans="1:3" ht="59.25" customHeight="1" x14ac:dyDescent="0.25">
      <c r="A3" s="552" t="s">
        <v>480</v>
      </c>
      <c r="B3" s="552"/>
      <c r="C3" s="552"/>
    </row>
    <row r="4" spans="1:3" ht="62.25" customHeight="1" x14ac:dyDescent="0.25">
      <c r="A4" s="116" t="s">
        <v>51</v>
      </c>
      <c r="B4" s="116" t="s">
        <v>52</v>
      </c>
      <c r="C4" s="116" t="s">
        <v>435</v>
      </c>
    </row>
    <row r="5" spans="1:3" x14ac:dyDescent="0.25">
      <c r="A5" s="161" t="s">
        <v>53</v>
      </c>
      <c r="B5" s="161" t="s">
        <v>54</v>
      </c>
      <c r="C5" s="161" t="s">
        <v>55</v>
      </c>
    </row>
    <row r="6" spans="1:3" x14ac:dyDescent="0.25">
      <c r="A6" s="305">
        <v>1</v>
      </c>
      <c r="B6" s="344" t="s">
        <v>7</v>
      </c>
      <c r="C6" s="194">
        <v>669.7</v>
      </c>
    </row>
    <row r="7" spans="1:3" x14ac:dyDescent="0.25">
      <c r="A7" s="305">
        <v>2</v>
      </c>
      <c r="B7" s="344" t="s">
        <v>8</v>
      </c>
      <c r="C7" s="194">
        <v>946.9</v>
      </c>
    </row>
    <row r="8" spans="1:3" x14ac:dyDescent="0.25">
      <c r="A8" s="305">
        <v>3</v>
      </c>
      <c r="B8" s="344" t="s">
        <v>9</v>
      </c>
      <c r="C8" s="194">
        <v>5815.2</v>
      </c>
    </row>
    <row r="9" spans="1:3" x14ac:dyDescent="0.25">
      <c r="A9" s="341">
        <v>4</v>
      </c>
      <c r="B9" s="342" t="s">
        <v>10</v>
      </c>
      <c r="C9" s="343">
        <v>739.1</v>
      </c>
    </row>
    <row r="10" spans="1:3" x14ac:dyDescent="0.25">
      <c r="A10" s="162">
        <v>5</v>
      </c>
      <c r="B10" s="199" t="s">
        <v>11</v>
      </c>
      <c r="C10" s="194">
        <v>1085.3</v>
      </c>
    </row>
    <row r="11" spans="1:3" x14ac:dyDescent="0.25">
      <c r="A11" s="162">
        <v>6</v>
      </c>
      <c r="B11" s="128" t="s">
        <v>12</v>
      </c>
      <c r="C11" s="194">
        <v>369.5</v>
      </c>
    </row>
    <row r="12" spans="1:3" x14ac:dyDescent="0.25">
      <c r="A12" s="162">
        <v>7</v>
      </c>
      <c r="B12" s="128" t="s">
        <v>13</v>
      </c>
      <c r="C12" s="194">
        <v>369.5</v>
      </c>
    </row>
    <row r="13" spans="1:3" x14ac:dyDescent="0.25">
      <c r="A13" s="162">
        <v>8</v>
      </c>
      <c r="B13" s="128" t="s">
        <v>14</v>
      </c>
      <c r="C13" s="194">
        <v>323.39999999999998</v>
      </c>
    </row>
    <row r="14" spans="1:3" x14ac:dyDescent="0.25">
      <c r="A14" s="162">
        <v>9</v>
      </c>
      <c r="B14" s="128" t="s">
        <v>15</v>
      </c>
      <c r="C14" s="194">
        <v>577.4</v>
      </c>
    </row>
    <row r="15" spans="1:3" x14ac:dyDescent="0.25">
      <c r="A15" s="162">
        <v>10</v>
      </c>
      <c r="B15" s="200" t="s">
        <v>16</v>
      </c>
      <c r="C15" s="194">
        <v>184.9</v>
      </c>
    </row>
    <row r="16" spans="1:3" x14ac:dyDescent="0.25">
      <c r="A16" s="162">
        <v>11</v>
      </c>
      <c r="B16" s="199" t="s">
        <v>17</v>
      </c>
      <c r="C16" s="194">
        <v>184.9</v>
      </c>
    </row>
    <row r="17" spans="1:17" x14ac:dyDescent="0.25">
      <c r="A17" s="162">
        <v>12</v>
      </c>
      <c r="B17" s="128" t="s">
        <v>18</v>
      </c>
      <c r="C17" s="194">
        <v>207.8</v>
      </c>
    </row>
    <row r="18" spans="1:17" x14ac:dyDescent="0.25">
      <c r="A18" s="162">
        <v>13</v>
      </c>
      <c r="B18" s="128" t="s">
        <v>19</v>
      </c>
      <c r="C18" s="194">
        <v>161.69999999999999</v>
      </c>
    </row>
    <row r="19" spans="1:17" x14ac:dyDescent="0.25">
      <c r="A19" s="162">
        <v>14</v>
      </c>
      <c r="B19" s="128" t="s">
        <v>56</v>
      </c>
      <c r="C19" s="194">
        <v>69.400000000000006</v>
      </c>
      <c r="Q19" s="216"/>
    </row>
    <row r="20" spans="1:17" x14ac:dyDescent="0.25">
      <c r="A20" s="162">
        <v>15</v>
      </c>
      <c r="B20" s="128" t="s">
        <v>57</v>
      </c>
      <c r="C20" s="194">
        <v>161.69999999999999</v>
      </c>
    </row>
    <row r="21" spans="1:17" x14ac:dyDescent="0.25">
      <c r="A21" s="162">
        <v>16</v>
      </c>
      <c r="B21" s="128" t="s">
        <v>22</v>
      </c>
      <c r="C21" s="194">
        <v>115.5</v>
      </c>
    </row>
    <row r="22" spans="1:17" x14ac:dyDescent="0.25">
      <c r="A22" s="162">
        <v>17</v>
      </c>
      <c r="B22" s="128" t="s">
        <v>23</v>
      </c>
      <c r="C22" s="194">
        <v>115.5</v>
      </c>
    </row>
    <row r="23" spans="1:17" x14ac:dyDescent="0.25">
      <c r="A23" s="162">
        <v>18</v>
      </c>
      <c r="B23" s="128" t="s">
        <v>24</v>
      </c>
      <c r="C23" s="194">
        <v>161.69999999999999</v>
      </c>
    </row>
    <row r="24" spans="1:17" x14ac:dyDescent="0.25">
      <c r="A24" s="162">
        <v>19</v>
      </c>
      <c r="B24" s="128" t="s">
        <v>25</v>
      </c>
      <c r="C24" s="194">
        <v>531.20000000000005</v>
      </c>
    </row>
    <row r="25" spans="1:17" x14ac:dyDescent="0.25">
      <c r="A25" s="162">
        <v>20</v>
      </c>
      <c r="B25" s="128" t="s">
        <v>26</v>
      </c>
      <c r="C25" s="194">
        <v>138.80000000000001</v>
      </c>
    </row>
    <row r="26" spans="1:17" x14ac:dyDescent="0.25">
      <c r="A26" s="162">
        <v>21</v>
      </c>
      <c r="B26" s="128" t="s">
        <v>27</v>
      </c>
      <c r="C26" s="194">
        <v>531.20000000000005</v>
      </c>
    </row>
    <row r="27" spans="1:17" x14ac:dyDescent="0.25">
      <c r="A27" s="162">
        <v>22</v>
      </c>
      <c r="B27" s="128" t="s">
        <v>28</v>
      </c>
      <c r="C27" s="194">
        <v>69.400000000000006</v>
      </c>
    </row>
    <row r="28" spans="1:17" x14ac:dyDescent="0.25">
      <c r="A28" s="162">
        <v>23</v>
      </c>
      <c r="B28" s="128" t="s">
        <v>29</v>
      </c>
      <c r="C28" s="194">
        <v>277.2</v>
      </c>
    </row>
    <row r="29" spans="1:17" x14ac:dyDescent="0.25">
      <c r="A29" s="162">
        <v>24</v>
      </c>
      <c r="B29" s="128" t="s">
        <v>30</v>
      </c>
      <c r="C29" s="194">
        <v>785.2</v>
      </c>
    </row>
    <row r="30" spans="1:17" x14ac:dyDescent="0.25">
      <c r="A30" s="162">
        <v>25</v>
      </c>
      <c r="B30" s="128" t="s">
        <v>31</v>
      </c>
      <c r="C30" s="194">
        <v>323.39999999999998</v>
      </c>
    </row>
    <row r="31" spans="1:17" x14ac:dyDescent="0.25">
      <c r="A31" s="162">
        <v>26</v>
      </c>
      <c r="B31" s="128" t="s">
        <v>32</v>
      </c>
      <c r="C31" s="194">
        <v>115.5</v>
      </c>
    </row>
    <row r="32" spans="1:17" x14ac:dyDescent="0.25">
      <c r="A32" s="162">
        <v>27</v>
      </c>
      <c r="B32" s="128" t="s">
        <v>33</v>
      </c>
      <c r="C32" s="194">
        <v>161.69999999999999</v>
      </c>
    </row>
    <row r="33" spans="1:3" x14ac:dyDescent="0.25">
      <c r="A33" s="162">
        <v>28</v>
      </c>
      <c r="B33" s="128" t="s">
        <v>34</v>
      </c>
      <c r="C33" s="194">
        <v>1247</v>
      </c>
    </row>
    <row r="34" spans="1:3" x14ac:dyDescent="0.25">
      <c r="A34" s="162">
        <v>29</v>
      </c>
      <c r="B34" s="128" t="s">
        <v>35</v>
      </c>
      <c r="C34" s="194">
        <v>231.1</v>
      </c>
    </row>
    <row r="35" spans="1:3" x14ac:dyDescent="0.25">
      <c r="A35" s="162">
        <v>30</v>
      </c>
      <c r="B35" s="128" t="s">
        <v>36</v>
      </c>
      <c r="C35" s="194">
        <v>415.7</v>
      </c>
    </row>
    <row r="36" spans="1:3" x14ac:dyDescent="0.25">
      <c r="A36" s="162">
        <v>31</v>
      </c>
      <c r="B36" s="128" t="s">
        <v>37</v>
      </c>
      <c r="C36" s="194">
        <v>231.1</v>
      </c>
    </row>
    <row r="37" spans="1:3" x14ac:dyDescent="0.25">
      <c r="A37" s="162">
        <v>32</v>
      </c>
      <c r="B37" s="128" t="s">
        <v>38</v>
      </c>
      <c r="C37" s="194">
        <v>69.400000000000006</v>
      </c>
    </row>
    <row r="38" spans="1:3" x14ac:dyDescent="0.25">
      <c r="A38" s="162">
        <v>33</v>
      </c>
      <c r="B38" s="128" t="s">
        <v>39</v>
      </c>
      <c r="C38" s="194">
        <v>277.2</v>
      </c>
    </row>
    <row r="39" spans="1:3" x14ac:dyDescent="0.25">
      <c r="A39" s="162">
        <v>34</v>
      </c>
      <c r="B39" s="128" t="s">
        <v>40</v>
      </c>
      <c r="C39" s="194">
        <v>161.69999999999999</v>
      </c>
    </row>
    <row r="40" spans="1:3" x14ac:dyDescent="0.25">
      <c r="A40" s="162">
        <v>35</v>
      </c>
      <c r="B40" s="128" t="s">
        <v>41</v>
      </c>
      <c r="C40" s="194">
        <v>115.5</v>
      </c>
    </row>
    <row r="41" spans="1:3" x14ac:dyDescent="0.25">
      <c r="A41" s="162">
        <v>36</v>
      </c>
      <c r="B41" s="128" t="s">
        <v>42</v>
      </c>
      <c r="C41" s="194">
        <v>161.69999999999999</v>
      </c>
    </row>
    <row r="42" spans="1:3" x14ac:dyDescent="0.25">
      <c r="A42" s="162">
        <v>37</v>
      </c>
      <c r="B42" s="128" t="s">
        <v>43</v>
      </c>
      <c r="C42" s="194">
        <v>369.5</v>
      </c>
    </row>
    <row r="43" spans="1:3" x14ac:dyDescent="0.25">
      <c r="A43" s="162">
        <v>38</v>
      </c>
      <c r="B43" s="128" t="s">
        <v>44</v>
      </c>
      <c r="C43" s="194">
        <v>369.5</v>
      </c>
    </row>
    <row r="44" spans="1:3" x14ac:dyDescent="0.25">
      <c r="A44" s="162">
        <v>39</v>
      </c>
      <c r="B44" s="128" t="s">
        <v>45</v>
      </c>
      <c r="C44" s="194">
        <v>277.2</v>
      </c>
    </row>
    <row r="45" spans="1:3" x14ac:dyDescent="0.25">
      <c r="A45" s="162">
        <v>40</v>
      </c>
      <c r="B45" s="128" t="s">
        <v>46</v>
      </c>
      <c r="C45" s="194">
        <v>115.5</v>
      </c>
    </row>
    <row r="46" spans="1:3" x14ac:dyDescent="0.25">
      <c r="A46" s="162">
        <v>41</v>
      </c>
      <c r="B46" s="123" t="s">
        <v>47</v>
      </c>
      <c r="C46" s="194">
        <v>161.69999999999999</v>
      </c>
    </row>
    <row r="47" spans="1:3" x14ac:dyDescent="0.25">
      <c r="A47" s="162">
        <v>42</v>
      </c>
      <c r="B47" s="123" t="s">
        <v>48</v>
      </c>
      <c r="C47" s="194">
        <v>69.400000000000006</v>
      </c>
    </row>
    <row r="48" spans="1:3" x14ac:dyDescent="0.25">
      <c r="A48" s="195" t="s">
        <v>58</v>
      </c>
      <c r="B48" s="196" t="s">
        <v>49</v>
      </c>
      <c r="C48" s="197">
        <f>SUM(C6:C47)</f>
        <v>19465.900000000005</v>
      </c>
    </row>
    <row r="50" spans="2:3" ht="22.5" customHeight="1" x14ac:dyDescent="0.25">
      <c r="B50" s="553"/>
      <c r="C50" s="553"/>
    </row>
  </sheetData>
  <mergeCells count="4">
    <mergeCell ref="A1:C1"/>
    <mergeCell ref="A2:C2"/>
    <mergeCell ref="A3:C3"/>
    <mergeCell ref="B50:C50"/>
  </mergeCells>
  <printOptions horizontalCentered="1"/>
  <pageMargins left="0.59055118110236227" right="0.39370078740157483" top="0.39370078740157483" bottom="0.39370078740157483" header="0" footer="0"/>
  <pageSetup paperSize="9" scale="82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view="pageBreakPreview" zoomScaleNormal="85" zoomScaleSheetLayoutView="100" workbookViewId="0">
      <selection activeCell="I11" sqref="I11"/>
    </sheetView>
  </sheetViews>
  <sheetFormatPr defaultRowHeight="18.75" x14ac:dyDescent="0.3"/>
  <cols>
    <col min="1" max="1" width="5.140625" style="100" customWidth="1"/>
    <col min="2" max="2" width="50" style="100" customWidth="1"/>
    <col min="3" max="3" width="22" style="100" customWidth="1"/>
    <col min="4" max="4" width="23.7109375" style="100" customWidth="1"/>
    <col min="5" max="5" width="21.140625" style="100" customWidth="1"/>
    <col min="6" max="6" width="18.28515625" style="95" customWidth="1"/>
    <col min="7" max="256" width="9.140625" style="95"/>
    <col min="257" max="257" width="5.140625" style="95" customWidth="1"/>
    <col min="258" max="258" width="46.5703125" style="95" customWidth="1"/>
    <col min="259" max="259" width="22" style="95" customWidth="1"/>
    <col min="260" max="260" width="23.7109375" style="95" customWidth="1"/>
    <col min="261" max="261" width="21.140625" style="95" customWidth="1"/>
    <col min="262" max="262" width="18.28515625" style="95" customWidth="1"/>
    <col min="263" max="512" width="9.140625" style="95"/>
    <col min="513" max="513" width="5.140625" style="95" customWidth="1"/>
    <col min="514" max="514" width="46.5703125" style="95" customWidth="1"/>
    <col min="515" max="515" width="22" style="95" customWidth="1"/>
    <col min="516" max="516" width="23.7109375" style="95" customWidth="1"/>
    <col min="517" max="517" width="21.140625" style="95" customWidth="1"/>
    <col min="518" max="518" width="18.28515625" style="95" customWidth="1"/>
    <col min="519" max="768" width="9.140625" style="95"/>
    <col min="769" max="769" width="5.140625" style="95" customWidth="1"/>
    <col min="770" max="770" width="46.5703125" style="95" customWidth="1"/>
    <col min="771" max="771" width="22" style="95" customWidth="1"/>
    <col min="772" max="772" width="23.7109375" style="95" customWidth="1"/>
    <col min="773" max="773" width="21.140625" style="95" customWidth="1"/>
    <col min="774" max="774" width="18.28515625" style="95" customWidth="1"/>
    <col min="775" max="1024" width="9.140625" style="95"/>
    <col min="1025" max="1025" width="5.140625" style="95" customWidth="1"/>
    <col min="1026" max="1026" width="46.5703125" style="95" customWidth="1"/>
    <col min="1027" max="1027" width="22" style="95" customWidth="1"/>
    <col min="1028" max="1028" width="23.7109375" style="95" customWidth="1"/>
    <col min="1029" max="1029" width="21.140625" style="95" customWidth="1"/>
    <col min="1030" max="1030" width="18.28515625" style="95" customWidth="1"/>
    <col min="1031" max="1280" width="9.140625" style="95"/>
    <col min="1281" max="1281" width="5.140625" style="95" customWidth="1"/>
    <col min="1282" max="1282" width="46.5703125" style="95" customWidth="1"/>
    <col min="1283" max="1283" width="22" style="95" customWidth="1"/>
    <col min="1284" max="1284" width="23.7109375" style="95" customWidth="1"/>
    <col min="1285" max="1285" width="21.140625" style="95" customWidth="1"/>
    <col min="1286" max="1286" width="18.28515625" style="95" customWidth="1"/>
    <col min="1287" max="1536" width="9.140625" style="95"/>
    <col min="1537" max="1537" width="5.140625" style="95" customWidth="1"/>
    <col min="1538" max="1538" width="46.5703125" style="95" customWidth="1"/>
    <col min="1539" max="1539" width="22" style="95" customWidth="1"/>
    <col min="1540" max="1540" width="23.7109375" style="95" customWidth="1"/>
    <col min="1541" max="1541" width="21.140625" style="95" customWidth="1"/>
    <col min="1542" max="1542" width="18.28515625" style="95" customWidth="1"/>
    <col min="1543" max="1792" width="9.140625" style="95"/>
    <col min="1793" max="1793" width="5.140625" style="95" customWidth="1"/>
    <col min="1794" max="1794" width="46.5703125" style="95" customWidth="1"/>
    <col min="1795" max="1795" width="22" style="95" customWidth="1"/>
    <col min="1796" max="1796" width="23.7109375" style="95" customWidth="1"/>
    <col min="1797" max="1797" width="21.140625" style="95" customWidth="1"/>
    <col min="1798" max="1798" width="18.28515625" style="95" customWidth="1"/>
    <col min="1799" max="2048" width="9.140625" style="95"/>
    <col min="2049" max="2049" width="5.140625" style="95" customWidth="1"/>
    <col min="2050" max="2050" width="46.5703125" style="95" customWidth="1"/>
    <col min="2051" max="2051" width="22" style="95" customWidth="1"/>
    <col min="2052" max="2052" width="23.7109375" style="95" customWidth="1"/>
    <col min="2053" max="2053" width="21.140625" style="95" customWidth="1"/>
    <col min="2054" max="2054" width="18.28515625" style="95" customWidth="1"/>
    <col min="2055" max="2304" width="9.140625" style="95"/>
    <col min="2305" max="2305" width="5.140625" style="95" customWidth="1"/>
    <col min="2306" max="2306" width="46.5703125" style="95" customWidth="1"/>
    <col min="2307" max="2307" width="22" style="95" customWidth="1"/>
    <col min="2308" max="2308" width="23.7109375" style="95" customWidth="1"/>
    <col min="2309" max="2309" width="21.140625" style="95" customWidth="1"/>
    <col min="2310" max="2310" width="18.28515625" style="95" customWidth="1"/>
    <col min="2311" max="2560" width="9.140625" style="95"/>
    <col min="2561" max="2561" width="5.140625" style="95" customWidth="1"/>
    <col min="2562" max="2562" width="46.5703125" style="95" customWidth="1"/>
    <col min="2563" max="2563" width="22" style="95" customWidth="1"/>
    <col min="2564" max="2564" width="23.7109375" style="95" customWidth="1"/>
    <col min="2565" max="2565" width="21.140625" style="95" customWidth="1"/>
    <col min="2566" max="2566" width="18.28515625" style="95" customWidth="1"/>
    <col min="2567" max="2816" width="9.140625" style="95"/>
    <col min="2817" max="2817" width="5.140625" style="95" customWidth="1"/>
    <col min="2818" max="2818" width="46.5703125" style="95" customWidth="1"/>
    <col min="2819" max="2819" width="22" style="95" customWidth="1"/>
    <col min="2820" max="2820" width="23.7109375" style="95" customWidth="1"/>
    <col min="2821" max="2821" width="21.140625" style="95" customWidth="1"/>
    <col min="2822" max="2822" width="18.28515625" style="95" customWidth="1"/>
    <col min="2823" max="3072" width="9.140625" style="95"/>
    <col min="3073" max="3073" width="5.140625" style="95" customWidth="1"/>
    <col min="3074" max="3074" width="46.5703125" style="95" customWidth="1"/>
    <col min="3075" max="3075" width="22" style="95" customWidth="1"/>
    <col min="3076" max="3076" width="23.7109375" style="95" customWidth="1"/>
    <col min="3077" max="3077" width="21.140625" style="95" customWidth="1"/>
    <col min="3078" max="3078" width="18.28515625" style="95" customWidth="1"/>
    <col min="3079" max="3328" width="9.140625" style="95"/>
    <col min="3329" max="3329" width="5.140625" style="95" customWidth="1"/>
    <col min="3330" max="3330" width="46.5703125" style="95" customWidth="1"/>
    <col min="3331" max="3331" width="22" style="95" customWidth="1"/>
    <col min="3332" max="3332" width="23.7109375" style="95" customWidth="1"/>
    <col min="3333" max="3333" width="21.140625" style="95" customWidth="1"/>
    <col min="3334" max="3334" width="18.28515625" style="95" customWidth="1"/>
    <col min="3335" max="3584" width="9.140625" style="95"/>
    <col min="3585" max="3585" width="5.140625" style="95" customWidth="1"/>
    <col min="3586" max="3586" width="46.5703125" style="95" customWidth="1"/>
    <col min="3587" max="3587" width="22" style="95" customWidth="1"/>
    <col min="3588" max="3588" width="23.7109375" style="95" customWidth="1"/>
    <col min="3589" max="3589" width="21.140625" style="95" customWidth="1"/>
    <col min="3590" max="3590" width="18.28515625" style="95" customWidth="1"/>
    <col min="3591" max="3840" width="9.140625" style="95"/>
    <col min="3841" max="3841" width="5.140625" style="95" customWidth="1"/>
    <col min="3842" max="3842" width="46.5703125" style="95" customWidth="1"/>
    <col min="3843" max="3843" width="22" style="95" customWidth="1"/>
    <col min="3844" max="3844" width="23.7109375" style="95" customWidth="1"/>
    <col min="3845" max="3845" width="21.140625" style="95" customWidth="1"/>
    <col min="3846" max="3846" width="18.28515625" style="95" customWidth="1"/>
    <col min="3847" max="4096" width="9.140625" style="95"/>
    <col min="4097" max="4097" width="5.140625" style="95" customWidth="1"/>
    <col min="4098" max="4098" width="46.5703125" style="95" customWidth="1"/>
    <col min="4099" max="4099" width="22" style="95" customWidth="1"/>
    <col min="4100" max="4100" width="23.7109375" style="95" customWidth="1"/>
    <col min="4101" max="4101" width="21.140625" style="95" customWidth="1"/>
    <col min="4102" max="4102" width="18.28515625" style="95" customWidth="1"/>
    <col min="4103" max="4352" width="9.140625" style="95"/>
    <col min="4353" max="4353" width="5.140625" style="95" customWidth="1"/>
    <col min="4354" max="4354" width="46.5703125" style="95" customWidth="1"/>
    <col min="4355" max="4355" width="22" style="95" customWidth="1"/>
    <col min="4356" max="4356" width="23.7109375" style="95" customWidth="1"/>
    <col min="4357" max="4357" width="21.140625" style="95" customWidth="1"/>
    <col min="4358" max="4358" width="18.28515625" style="95" customWidth="1"/>
    <col min="4359" max="4608" width="9.140625" style="95"/>
    <col min="4609" max="4609" width="5.140625" style="95" customWidth="1"/>
    <col min="4610" max="4610" width="46.5703125" style="95" customWidth="1"/>
    <col min="4611" max="4611" width="22" style="95" customWidth="1"/>
    <col min="4612" max="4612" width="23.7109375" style="95" customWidth="1"/>
    <col min="4613" max="4613" width="21.140625" style="95" customWidth="1"/>
    <col min="4614" max="4614" width="18.28515625" style="95" customWidth="1"/>
    <col min="4615" max="4864" width="9.140625" style="95"/>
    <col min="4865" max="4865" width="5.140625" style="95" customWidth="1"/>
    <col min="4866" max="4866" width="46.5703125" style="95" customWidth="1"/>
    <col min="4867" max="4867" width="22" style="95" customWidth="1"/>
    <col min="4868" max="4868" width="23.7109375" style="95" customWidth="1"/>
    <col min="4869" max="4869" width="21.140625" style="95" customWidth="1"/>
    <col min="4870" max="4870" width="18.28515625" style="95" customWidth="1"/>
    <col min="4871" max="5120" width="9.140625" style="95"/>
    <col min="5121" max="5121" width="5.140625" style="95" customWidth="1"/>
    <col min="5122" max="5122" width="46.5703125" style="95" customWidth="1"/>
    <col min="5123" max="5123" width="22" style="95" customWidth="1"/>
    <col min="5124" max="5124" width="23.7109375" style="95" customWidth="1"/>
    <col min="5125" max="5125" width="21.140625" style="95" customWidth="1"/>
    <col min="5126" max="5126" width="18.28515625" style="95" customWidth="1"/>
    <col min="5127" max="5376" width="9.140625" style="95"/>
    <col min="5377" max="5377" width="5.140625" style="95" customWidth="1"/>
    <col min="5378" max="5378" width="46.5703125" style="95" customWidth="1"/>
    <col min="5379" max="5379" width="22" style="95" customWidth="1"/>
    <col min="5380" max="5380" width="23.7109375" style="95" customWidth="1"/>
    <col min="5381" max="5381" width="21.140625" style="95" customWidth="1"/>
    <col min="5382" max="5382" width="18.28515625" style="95" customWidth="1"/>
    <col min="5383" max="5632" width="9.140625" style="95"/>
    <col min="5633" max="5633" width="5.140625" style="95" customWidth="1"/>
    <col min="5634" max="5634" width="46.5703125" style="95" customWidth="1"/>
    <col min="5635" max="5635" width="22" style="95" customWidth="1"/>
    <col min="5636" max="5636" width="23.7109375" style="95" customWidth="1"/>
    <col min="5637" max="5637" width="21.140625" style="95" customWidth="1"/>
    <col min="5638" max="5638" width="18.28515625" style="95" customWidth="1"/>
    <col min="5639" max="5888" width="9.140625" style="95"/>
    <col min="5889" max="5889" width="5.140625" style="95" customWidth="1"/>
    <col min="5890" max="5890" width="46.5703125" style="95" customWidth="1"/>
    <col min="5891" max="5891" width="22" style="95" customWidth="1"/>
    <col min="5892" max="5892" width="23.7109375" style="95" customWidth="1"/>
    <col min="5893" max="5893" width="21.140625" style="95" customWidth="1"/>
    <col min="5894" max="5894" width="18.28515625" style="95" customWidth="1"/>
    <col min="5895" max="6144" width="9.140625" style="95"/>
    <col min="6145" max="6145" width="5.140625" style="95" customWidth="1"/>
    <col min="6146" max="6146" width="46.5703125" style="95" customWidth="1"/>
    <col min="6147" max="6147" width="22" style="95" customWidth="1"/>
    <col min="6148" max="6148" width="23.7109375" style="95" customWidth="1"/>
    <col min="6149" max="6149" width="21.140625" style="95" customWidth="1"/>
    <col min="6150" max="6150" width="18.28515625" style="95" customWidth="1"/>
    <col min="6151" max="6400" width="9.140625" style="95"/>
    <col min="6401" max="6401" width="5.140625" style="95" customWidth="1"/>
    <col min="6402" max="6402" width="46.5703125" style="95" customWidth="1"/>
    <col min="6403" max="6403" width="22" style="95" customWidth="1"/>
    <col min="6404" max="6404" width="23.7109375" style="95" customWidth="1"/>
    <col min="6405" max="6405" width="21.140625" style="95" customWidth="1"/>
    <col min="6406" max="6406" width="18.28515625" style="95" customWidth="1"/>
    <col min="6407" max="6656" width="9.140625" style="95"/>
    <col min="6657" max="6657" width="5.140625" style="95" customWidth="1"/>
    <col min="6658" max="6658" width="46.5703125" style="95" customWidth="1"/>
    <col min="6659" max="6659" width="22" style="95" customWidth="1"/>
    <col min="6660" max="6660" width="23.7109375" style="95" customWidth="1"/>
    <col min="6661" max="6661" width="21.140625" style="95" customWidth="1"/>
    <col min="6662" max="6662" width="18.28515625" style="95" customWidth="1"/>
    <col min="6663" max="6912" width="9.140625" style="95"/>
    <col min="6913" max="6913" width="5.140625" style="95" customWidth="1"/>
    <col min="6914" max="6914" width="46.5703125" style="95" customWidth="1"/>
    <col min="6915" max="6915" width="22" style="95" customWidth="1"/>
    <col min="6916" max="6916" width="23.7109375" style="95" customWidth="1"/>
    <col min="6917" max="6917" width="21.140625" style="95" customWidth="1"/>
    <col min="6918" max="6918" width="18.28515625" style="95" customWidth="1"/>
    <col min="6919" max="7168" width="9.140625" style="95"/>
    <col min="7169" max="7169" width="5.140625" style="95" customWidth="1"/>
    <col min="7170" max="7170" width="46.5703125" style="95" customWidth="1"/>
    <col min="7171" max="7171" width="22" style="95" customWidth="1"/>
    <col min="7172" max="7172" width="23.7109375" style="95" customWidth="1"/>
    <col min="7173" max="7173" width="21.140625" style="95" customWidth="1"/>
    <col min="7174" max="7174" width="18.28515625" style="95" customWidth="1"/>
    <col min="7175" max="7424" width="9.140625" style="95"/>
    <col min="7425" max="7425" width="5.140625" style="95" customWidth="1"/>
    <col min="7426" max="7426" width="46.5703125" style="95" customWidth="1"/>
    <col min="7427" max="7427" width="22" style="95" customWidth="1"/>
    <col min="7428" max="7428" width="23.7109375" style="95" customWidth="1"/>
    <col min="7429" max="7429" width="21.140625" style="95" customWidth="1"/>
    <col min="7430" max="7430" width="18.28515625" style="95" customWidth="1"/>
    <col min="7431" max="7680" width="9.140625" style="95"/>
    <col min="7681" max="7681" width="5.140625" style="95" customWidth="1"/>
    <col min="7682" max="7682" width="46.5703125" style="95" customWidth="1"/>
    <col min="7683" max="7683" width="22" style="95" customWidth="1"/>
    <col min="7684" max="7684" width="23.7109375" style="95" customWidth="1"/>
    <col min="7685" max="7685" width="21.140625" style="95" customWidth="1"/>
    <col min="7686" max="7686" width="18.28515625" style="95" customWidth="1"/>
    <col min="7687" max="7936" width="9.140625" style="95"/>
    <col min="7937" max="7937" width="5.140625" style="95" customWidth="1"/>
    <col min="7938" max="7938" width="46.5703125" style="95" customWidth="1"/>
    <col min="7939" max="7939" width="22" style="95" customWidth="1"/>
    <col min="7940" max="7940" width="23.7109375" style="95" customWidth="1"/>
    <col min="7941" max="7941" width="21.140625" style="95" customWidth="1"/>
    <col min="7942" max="7942" width="18.28515625" style="95" customWidth="1"/>
    <col min="7943" max="8192" width="9.140625" style="95"/>
    <col min="8193" max="8193" width="5.140625" style="95" customWidth="1"/>
    <col min="8194" max="8194" width="46.5703125" style="95" customWidth="1"/>
    <col min="8195" max="8195" width="22" style="95" customWidth="1"/>
    <col min="8196" max="8196" width="23.7109375" style="95" customWidth="1"/>
    <col min="8197" max="8197" width="21.140625" style="95" customWidth="1"/>
    <col min="8198" max="8198" width="18.28515625" style="95" customWidth="1"/>
    <col min="8199" max="8448" width="9.140625" style="95"/>
    <col min="8449" max="8449" width="5.140625" style="95" customWidth="1"/>
    <col min="8450" max="8450" width="46.5703125" style="95" customWidth="1"/>
    <col min="8451" max="8451" width="22" style="95" customWidth="1"/>
    <col min="8452" max="8452" width="23.7109375" style="95" customWidth="1"/>
    <col min="8453" max="8453" width="21.140625" style="95" customWidth="1"/>
    <col min="8454" max="8454" width="18.28515625" style="95" customWidth="1"/>
    <col min="8455" max="8704" width="9.140625" style="95"/>
    <col min="8705" max="8705" width="5.140625" style="95" customWidth="1"/>
    <col min="8706" max="8706" width="46.5703125" style="95" customWidth="1"/>
    <col min="8707" max="8707" width="22" style="95" customWidth="1"/>
    <col min="8708" max="8708" width="23.7109375" style="95" customWidth="1"/>
    <col min="8709" max="8709" width="21.140625" style="95" customWidth="1"/>
    <col min="8710" max="8710" width="18.28515625" style="95" customWidth="1"/>
    <col min="8711" max="8960" width="9.140625" style="95"/>
    <col min="8961" max="8961" width="5.140625" style="95" customWidth="1"/>
    <col min="8962" max="8962" width="46.5703125" style="95" customWidth="1"/>
    <col min="8963" max="8963" width="22" style="95" customWidth="1"/>
    <col min="8964" max="8964" width="23.7109375" style="95" customWidth="1"/>
    <col min="8965" max="8965" width="21.140625" style="95" customWidth="1"/>
    <col min="8966" max="8966" width="18.28515625" style="95" customWidth="1"/>
    <col min="8967" max="9216" width="9.140625" style="95"/>
    <col min="9217" max="9217" width="5.140625" style="95" customWidth="1"/>
    <col min="9218" max="9218" width="46.5703125" style="95" customWidth="1"/>
    <col min="9219" max="9219" width="22" style="95" customWidth="1"/>
    <col min="9220" max="9220" width="23.7109375" style="95" customWidth="1"/>
    <col min="9221" max="9221" width="21.140625" style="95" customWidth="1"/>
    <col min="9222" max="9222" width="18.28515625" style="95" customWidth="1"/>
    <col min="9223" max="9472" width="9.140625" style="95"/>
    <col min="9473" max="9473" width="5.140625" style="95" customWidth="1"/>
    <col min="9474" max="9474" width="46.5703125" style="95" customWidth="1"/>
    <col min="9475" max="9475" width="22" style="95" customWidth="1"/>
    <col min="9476" max="9476" width="23.7109375" style="95" customWidth="1"/>
    <col min="9477" max="9477" width="21.140625" style="95" customWidth="1"/>
    <col min="9478" max="9478" width="18.28515625" style="95" customWidth="1"/>
    <col min="9479" max="9728" width="9.140625" style="95"/>
    <col min="9729" max="9729" width="5.140625" style="95" customWidth="1"/>
    <col min="9730" max="9730" width="46.5703125" style="95" customWidth="1"/>
    <col min="9731" max="9731" width="22" style="95" customWidth="1"/>
    <col min="9732" max="9732" width="23.7109375" style="95" customWidth="1"/>
    <col min="9733" max="9733" width="21.140625" style="95" customWidth="1"/>
    <col min="9734" max="9734" width="18.28515625" style="95" customWidth="1"/>
    <col min="9735" max="9984" width="9.140625" style="95"/>
    <col min="9985" max="9985" width="5.140625" style="95" customWidth="1"/>
    <col min="9986" max="9986" width="46.5703125" style="95" customWidth="1"/>
    <col min="9987" max="9987" width="22" style="95" customWidth="1"/>
    <col min="9988" max="9988" width="23.7109375" style="95" customWidth="1"/>
    <col min="9989" max="9989" width="21.140625" style="95" customWidth="1"/>
    <col min="9990" max="9990" width="18.28515625" style="95" customWidth="1"/>
    <col min="9991" max="10240" width="9.140625" style="95"/>
    <col min="10241" max="10241" width="5.140625" style="95" customWidth="1"/>
    <col min="10242" max="10242" width="46.5703125" style="95" customWidth="1"/>
    <col min="10243" max="10243" width="22" style="95" customWidth="1"/>
    <col min="10244" max="10244" width="23.7109375" style="95" customWidth="1"/>
    <col min="10245" max="10245" width="21.140625" style="95" customWidth="1"/>
    <col min="10246" max="10246" width="18.28515625" style="95" customWidth="1"/>
    <col min="10247" max="10496" width="9.140625" style="95"/>
    <col min="10497" max="10497" width="5.140625" style="95" customWidth="1"/>
    <col min="10498" max="10498" width="46.5703125" style="95" customWidth="1"/>
    <col min="10499" max="10499" width="22" style="95" customWidth="1"/>
    <col min="10500" max="10500" width="23.7109375" style="95" customWidth="1"/>
    <col min="10501" max="10501" width="21.140625" style="95" customWidth="1"/>
    <col min="10502" max="10502" width="18.28515625" style="95" customWidth="1"/>
    <col min="10503" max="10752" width="9.140625" style="95"/>
    <col min="10753" max="10753" width="5.140625" style="95" customWidth="1"/>
    <col min="10754" max="10754" width="46.5703125" style="95" customWidth="1"/>
    <col min="10755" max="10755" width="22" style="95" customWidth="1"/>
    <col min="10756" max="10756" width="23.7109375" style="95" customWidth="1"/>
    <col min="10757" max="10757" width="21.140625" style="95" customWidth="1"/>
    <col min="10758" max="10758" width="18.28515625" style="95" customWidth="1"/>
    <col min="10759" max="11008" width="9.140625" style="95"/>
    <col min="11009" max="11009" width="5.140625" style="95" customWidth="1"/>
    <col min="11010" max="11010" width="46.5703125" style="95" customWidth="1"/>
    <col min="11011" max="11011" width="22" style="95" customWidth="1"/>
    <col min="11012" max="11012" width="23.7109375" style="95" customWidth="1"/>
    <col min="11013" max="11013" width="21.140625" style="95" customWidth="1"/>
    <col min="11014" max="11014" width="18.28515625" style="95" customWidth="1"/>
    <col min="11015" max="11264" width="9.140625" style="95"/>
    <col min="11265" max="11265" width="5.140625" style="95" customWidth="1"/>
    <col min="11266" max="11266" width="46.5703125" style="95" customWidth="1"/>
    <col min="11267" max="11267" width="22" style="95" customWidth="1"/>
    <col min="11268" max="11268" width="23.7109375" style="95" customWidth="1"/>
    <col min="11269" max="11269" width="21.140625" style="95" customWidth="1"/>
    <col min="11270" max="11270" width="18.28515625" style="95" customWidth="1"/>
    <col min="11271" max="11520" width="9.140625" style="95"/>
    <col min="11521" max="11521" width="5.140625" style="95" customWidth="1"/>
    <col min="11522" max="11522" width="46.5703125" style="95" customWidth="1"/>
    <col min="11523" max="11523" width="22" style="95" customWidth="1"/>
    <col min="11524" max="11524" width="23.7109375" style="95" customWidth="1"/>
    <col min="11525" max="11525" width="21.140625" style="95" customWidth="1"/>
    <col min="11526" max="11526" width="18.28515625" style="95" customWidth="1"/>
    <col min="11527" max="11776" width="9.140625" style="95"/>
    <col min="11777" max="11777" width="5.140625" style="95" customWidth="1"/>
    <col min="11778" max="11778" width="46.5703125" style="95" customWidth="1"/>
    <col min="11779" max="11779" width="22" style="95" customWidth="1"/>
    <col min="11780" max="11780" width="23.7109375" style="95" customWidth="1"/>
    <col min="11781" max="11781" width="21.140625" style="95" customWidth="1"/>
    <col min="11782" max="11782" width="18.28515625" style="95" customWidth="1"/>
    <col min="11783" max="12032" width="9.140625" style="95"/>
    <col min="12033" max="12033" width="5.140625" style="95" customWidth="1"/>
    <col min="12034" max="12034" width="46.5703125" style="95" customWidth="1"/>
    <col min="12035" max="12035" width="22" style="95" customWidth="1"/>
    <col min="12036" max="12036" width="23.7109375" style="95" customWidth="1"/>
    <col min="12037" max="12037" width="21.140625" style="95" customWidth="1"/>
    <col min="12038" max="12038" width="18.28515625" style="95" customWidth="1"/>
    <col min="12039" max="12288" width="9.140625" style="95"/>
    <col min="12289" max="12289" width="5.140625" style="95" customWidth="1"/>
    <col min="12290" max="12290" width="46.5703125" style="95" customWidth="1"/>
    <col min="12291" max="12291" width="22" style="95" customWidth="1"/>
    <col min="12292" max="12292" width="23.7109375" style="95" customWidth="1"/>
    <col min="12293" max="12293" width="21.140625" style="95" customWidth="1"/>
    <col min="12294" max="12294" width="18.28515625" style="95" customWidth="1"/>
    <col min="12295" max="12544" width="9.140625" style="95"/>
    <col min="12545" max="12545" width="5.140625" style="95" customWidth="1"/>
    <col min="12546" max="12546" width="46.5703125" style="95" customWidth="1"/>
    <col min="12547" max="12547" width="22" style="95" customWidth="1"/>
    <col min="12548" max="12548" width="23.7109375" style="95" customWidth="1"/>
    <col min="12549" max="12549" width="21.140625" style="95" customWidth="1"/>
    <col min="12550" max="12550" width="18.28515625" style="95" customWidth="1"/>
    <col min="12551" max="12800" width="9.140625" style="95"/>
    <col min="12801" max="12801" width="5.140625" style="95" customWidth="1"/>
    <col min="12802" max="12802" width="46.5703125" style="95" customWidth="1"/>
    <col min="12803" max="12803" width="22" style="95" customWidth="1"/>
    <col min="12804" max="12804" width="23.7109375" style="95" customWidth="1"/>
    <col min="12805" max="12805" width="21.140625" style="95" customWidth="1"/>
    <col min="12806" max="12806" width="18.28515625" style="95" customWidth="1"/>
    <col min="12807" max="13056" width="9.140625" style="95"/>
    <col min="13057" max="13057" width="5.140625" style="95" customWidth="1"/>
    <col min="13058" max="13058" width="46.5703125" style="95" customWidth="1"/>
    <col min="13059" max="13059" width="22" style="95" customWidth="1"/>
    <col min="13060" max="13060" width="23.7109375" style="95" customWidth="1"/>
    <col min="13061" max="13061" width="21.140625" style="95" customWidth="1"/>
    <col min="13062" max="13062" width="18.28515625" style="95" customWidth="1"/>
    <col min="13063" max="13312" width="9.140625" style="95"/>
    <col min="13313" max="13313" width="5.140625" style="95" customWidth="1"/>
    <col min="13314" max="13314" width="46.5703125" style="95" customWidth="1"/>
    <col min="13315" max="13315" width="22" style="95" customWidth="1"/>
    <col min="13316" max="13316" width="23.7109375" style="95" customWidth="1"/>
    <col min="13317" max="13317" width="21.140625" style="95" customWidth="1"/>
    <col min="13318" max="13318" width="18.28515625" style="95" customWidth="1"/>
    <col min="13319" max="13568" width="9.140625" style="95"/>
    <col min="13569" max="13569" width="5.140625" style="95" customWidth="1"/>
    <col min="13570" max="13570" width="46.5703125" style="95" customWidth="1"/>
    <col min="13571" max="13571" width="22" style="95" customWidth="1"/>
    <col min="13572" max="13572" width="23.7109375" style="95" customWidth="1"/>
    <col min="13573" max="13573" width="21.140625" style="95" customWidth="1"/>
    <col min="13574" max="13574" width="18.28515625" style="95" customWidth="1"/>
    <col min="13575" max="13824" width="9.140625" style="95"/>
    <col min="13825" max="13825" width="5.140625" style="95" customWidth="1"/>
    <col min="13826" max="13826" width="46.5703125" style="95" customWidth="1"/>
    <col min="13827" max="13827" width="22" style="95" customWidth="1"/>
    <col min="13828" max="13828" width="23.7109375" style="95" customWidth="1"/>
    <col min="13829" max="13829" width="21.140625" style="95" customWidth="1"/>
    <col min="13830" max="13830" width="18.28515625" style="95" customWidth="1"/>
    <col min="13831" max="14080" width="9.140625" style="95"/>
    <col min="14081" max="14081" width="5.140625" style="95" customWidth="1"/>
    <col min="14082" max="14082" width="46.5703125" style="95" customWidth="1"/>
    <col min="14083" max="14083" width="22" style="95" customWidth="1"/>
    <col min="14084" max="14084" width="23.7109375" style="95" customWidth="1"/>
    <col min="14085" max="14085" width="21.140625" style="95" customWidth="1"/>
    <col min="14086" max="14086" width="18.28515625" style="95" customWidth="1"/>
    <col min="14087" max="14336" width="9.140625" style="95"/>
    <col min="14337" max="14337" width="5.140625" style="95" customWidth="1"/>
    <col min="14338" max="14338" width="46.5703125" style="95" customWidth="1"/>
    <col min="14339" max="14339" width="22" style="95" customWidth="1"/>
    <col min="14340" max="14340" width="23.7109375" style="95" customWidth="1"/>
    <col min="14341" max="14341" width="21.140625" style="95" customWidth="1"/>
    <col min="14342" max="14342" width="18.28515625" style="95" customWidth="1"/>
    <col min="14343" max="14592" width="9.140625" style="95"/>
    <col min="14593" max="14593" width="5.140625" style="95" customWidth="1"/>
    <col min="14594" max="14594" width="46.5703125" style="95" customWidth="1"/>
    <col min="14595" max="14595" width="22" style="95" customWidth="1"/>
    <col min="14596" max="14596" width="23.7109375" style="95" customWidth="1"/>
    <col min="14597" max="14597" width="21.140625" style="95" customWidth="1"/>
    <col min="14598" max="14598" width="18.28515625" style="95" customWidth="1"/>
    <col min="14599" max="14848" width="9.140625" style="95"/>
    <col min="14849" max="14849" width="5.140625" style="95" customWidth="1"/>
    <col min="14850" max="14850" width="46.5703125" style="95" customWidth="1"/>
    <col min="14851" max="14851" width="22" style="95" customWidth="1"/>
    <col min="14852" max="14852" width="23.7109375" style="95" customWidth="1"/>
    <col min="14853" max="14853" width="21.140625" style="95" customWidth="1"/>
    <col min="14854" max="14854" width="18.28515625" style="95" customWidth="1"/>
    <col min="14855" max="15104" width="9.140625" style="95"/>
    <col min="15105" max="15105" width="5.140625" style="95" customWidth="1"/>
    <col min="15106" max="15106" width="46.5703125" style="95" customWidth="1"/>
    <col min="15107" max="15107" width="22" style="95" customWidth="1"/>
    <col min="15108" max="15108" width="23.7109375" style="95" customWidth="1"/>
    <col min="15109" max="15109" width="21.140625" style="95" customWidth="1"/>
    <col min="15110" max="15110" width="18.28515625" style="95" customWidth="1"/>
    <col min="15111" max="15360" width="9.140625" style="95"/>
    <col min="15361" max="15361" width="5.140625" style="95" customWidth="1"/>
    <col min="15362" max="15362" width="46.5703125" style="95" customWidth="1"/>
    <col min="15363" max="15363" width="22" style="95" customWidth="1"/>
    <col min="15364" max="15364" width="23.7109375" style="95" customWidth="1"/>
    <col min="15365" max="15365" width="21.140625" style="95" customWidth="1"/>
    <col min="15366" max="15366" width="18.28515625" style="95" customWidth="1"/>
    <col min="15367" max="15616" width="9.140625" style="95"/>
    <col min="15617" max="15617" width="5.140625" style="95" customWidth="1"/>
    <col min="15618" max="15618" width="46.5703125" style="95" customWidth="1"/>
    <col min="15619" max="15619" width="22" style="95" customWidth="1"/>
    <col min="15620" max="15620" width="23.7109375" style="95" customWidth="1"/>
    <col min="15621" max="15621" width="21.140625" style="95" customWidth="1"/>
    <col min="15622" max="15622" width="18.28515625" style="95" customWidth="1"/>
    <col min="15623" max="15872" width="9.140625" style="95"/>
    <col min="15873" max="15873" width="5.140625" style="95" customWidth="1"/>
    <col min="15874" max="15874" width="46.5703125" style="95" customWidth="1"/>
    <col min="15875" max="15875" width="22" style="95" customWidth="1"/>
    <col min="15876" max="15876" width="23.7109375" style="95" customWidth="1"/>
    <col min="15877" max="15877" width="21.140625" style="95" customWidth="1"/>
    <col min="15878" max="15878" width="18.28515625" style="95" customWidth="1"/>
    <col min="15879" max="16128" width="9.140625" style="95"/>
    <col min="16129" max="16129" width="5.140625" style="95" customWidth="1"/>
    <col min="16130" max="16130" width="46.5703125" style="95" customWidth="1"/>
    <col min="16131" max="16131" width="22" style="95" customWidth="1"/>
    <col min="16132" max="16132" width="23.7109375" style="95" customWidth="1"/>
    <col min="16133" max="16133" width="21.140625" style="95" customWidth="1"/>
    <col min="16134" max="16134" width="18.28515625" style="95" customWidth="1"/>
    <col min="16135" max="16384" width="9.140625" style="95"/>
  </cols>
  <sheetData>
    <row r="1" spans="1:7" x14ac:dyDescent="0.3">
      <c r="B1" s="242"/>
      <c r="C1" s="243"/>
      <c r="D1" s="243"/>
      <c r="E1" s="244" t="s">
        <v>363</v>
      </c>
    </row>
    <row r="2" spans="1:7" ht="69" customHeight="1" x14ac:dyDescent="0.25">
      <c r="A2" s="425" t="s">
        <v>441</v>
      </c>
      <c r="B2" s="425"/>
      <c r="C2" s="425"/>
      <c r="D2" s="425"/>
      <c r="E2" s="425"/>
    </row>
    <row r="3" spans="1:7" ht="18.75" customHeight="1" x14ac:dyDescent="0.3">
      <c r="E3" s="101" t="s">
        <v>357</v>
      </c>
    </row>
    <row r="4" spans="1:7" ht="15" customHeight="1" x14ac:dyDescent="0.25">
      <c r="A4" s="426" t="s">
        <v>0</v>
      </c>
      <c r="B4" s="426" t="s">
        <v>1</v>
      </c>
      <c r="C4" s="427" t="s">
        <v>358</v>
      </c>
      <c r="D4" s="427" t="s">
        <v>407</v>
      </c>
      <c r="E4" s="427" t="s">
        <v>359</v>
      </c>
    </row>
    <row r="5" spans="1:7" ht="64.5" customHeight="1" x14ac:dyDescent="0.25">
      <c r="A5" s="426"/>
      <c r="B5" s="426"/>
      <c r="C5" s="427"/>
      <c r="D5" s="427"/>
      <c r="E5" s="427"/>
    </row>
    <row r="6" spans="1:7" x14ac:dyDescent="0.3">
      <c r="A6" s="96">
        <v>1</v>
      </c>
      <c r="B6" s="96">
        <v>2</v>
      </c>
      <c r="C6" s="227">
        <v>3</v>
      </c>
      <c r="D6" s="227">
        <v>4</v>
      </c>
      <c r="E6" s="227">
        <v>5</v>
      </c>
    </row>
    <row r="7" spans="1:7" x14ac:dyDescent="0.3">
      <c r="A7" s="238">
        <v>1</v>
      </c>
      <c r="B7" s="239" t="s">
        <v>7</v>
      </c>
      <c r="C7" s="240">
        <v>146876</v>
      </c>
      <c r="D7" s="240">
        <v>146876</v>
      </c>
      <c r="E7" s="240">
        <v>0</v>
      </c>
      <c r="F7" s="231"/>
      <c r="G7" s="231"/>
    </row>
    <row r="8" spans="1:7" x14ac:dyDescent="0.3">
      <c r="A8" s="238">
        <v>2</v>
      </c>
      <c r="B8" s="239" t="s">
        <v>8</v>
      </c>
      <c r="C8" s="240">
        <v>200365</v>
      </c>
      <c r="D8" s="240">
        <v>200365</v>
      </c>
      <c r="E8" s="240">
        <v>0</v>
      </c>
      <c r="F8" s="231"/>
      <c r="G8" s="231"/>
    </row>
    <row r="9" spans="1:7" x14ac:dyDescent="0.3">
      <c r="A9" s="238">
        <v>3</v>
      </c>
      <c r="B9" s="239" t="s">
        <v>9</v>
      </c>
      <c r="C9" s="240">
        <v>0</v>
      </c>
      <c r="D9" s="240">
        <v>0</v>
      </c>
      <c r="E9" s="240">
        <v>0</v>
      </c>
      <c r="F9" s="231"/>
      <c r="G9" s="231"/>
    </row>
    <row r="10" spans="1:7" x14ac:dyDescent="0.3">
      <c r="A10" s="238">
        <v>4</v>
      </c>
      <c r="B10" s="239" t="s">
        <v>10</v>
      </c>
      <c r="C10" s="240">
        <v>116847</v>
      </c>
      <c r="D10" s="240">
        <v>116847</v>
      </c>
      <c r="E10" s="240">
        <v>0</v>
      </c>
      <c r="F10" s="231"/>
      <c r="G10" s="231"/>
    </row>
    <row r="11" spans="1:7" x14ac:dyDescent="0.3">
      <c r="A11" s="238">
        <v>5</v>
      </c>
      <c r="B11" s="239" t="s">
        <v>11</v>
      </c>
      <c r="C11" s="240">
        <v>376302</v>
      </c>
      <c r="D11" s="240">
        <v>376302</v>
      </c>
      <c r="E11" s="240">
        <v>0</v>
      </c>
      <c r="F11" s="231"/>
      <c r="G11" s="231"/>
    </row>
    <row r="12" spans="1:7" x14ac:dyDescent="0.3">
      <c r="A12" s="238">
        <v>6</v>
      </c>
      <c r="B12" s="239" t="s">
        <v>12</v>
      </c>
      <c r="C12" s="240">
        <v>181351</v>
      </c>
      <c r="D12" s="240">
        <v>181351</v>
      </c>
      <c r="E12" s="240">
        <v>0</v>
      </c>
      <c r="F12" s="231"/>
      <c r="G12" s="231"/>
    </row>
    <row r="13" spans="1:7" x14ac:dyDescent="0.3">
      <c r="A13" s="238">
        <v>7</v>
      </c>
      <c r="B13" s="239" t="s">
        <v>13</v>
      </c>
      <c r="C13" s="240">
        <v>192314</v>
      </c>
      <c r="D13" s="240">
        <v>192314</v>
      </c>
      <c r="E13" s="240">
        <v>0</v>
      </c>
      <c r="F13" s="231"/>
      <c r="G13" s="231"/>
    </row>
    <row r="14" spans="1:7" x14ac:dyDescent="0.3">
      <c r="A14" s="238">
        <v>8</v>
      </c>
      <c r="B14" s="239" t="s">
        <v>14</v>
      </c>
      <c r="C14" s="240">
        <v>128663</v>
      </c>
      <c r="D14" s="240">
        <v>128663</v>
      </c>
      <c r="E14" s="240">
        <v>0</v>
      </c>
      <c r="F14" s="231"/>
      <c r="G14" s="231"/>
    </row>
    <row r="15" spans="1:7" x14ac:dyDescent="0.3">
      <c r="A15" s="238">
        <v>9</v>
      </c>
      <c r="B15" s="239" t="s">
        <v>15</v>
      </c>
      <c r="C15" s="240">
        <v>138106</v>
      </c>
      <c r="D15" s="240">
        <v>138106</v>
      </c>
      <c r="E15" s="240">
        <v>0</v>
      </c>
      <c r="F15" s="231"/>
      <c r="G15" s="231"/>
    </row>
    <row r="16" spans="1:7" x14ac:dyDescent="0.3">
      <c r="A16" s="238">
        <v>10</v>
      </c>
      <c r="B16" s="239" t="s">
        <v>16</v>
      </c>
      <c r="C16" s="240">
        <v>86034</v>
      </c>
      <c r="D16" s="240">
        <v>73409</v>
      </c>
      <c r="E16" s="240">
        <v>12625</v>
      </c>
      <c r="F16" s="231"/>
      <c r="G16" s="231"/>
    </row>
    <row r="17" spans="1:17" x14ac:dyDescent="0.3">
      <c r="A17" s="238">
        <v>11</v>
      </c>
      <c r="B17" s="239" t="s">
        <v>17</v>
      </c>
      <c r="C17" s="240">
        <v>97384</v>
      </c>
      <c r="D17" s="240">
        <v>52776</v>
      </c>
      <c r="E17" s="240">
        <v>44608</v>
      </c>
      <c r="F17" s="231"/>
      <c r="G17" s="231"/>
    </row>
    <row r="18" spans="1:17" x14ac:dyDescent="0.3">
      <c r="A18" s="238">
        <v>12</v>
      </c>
      <c r="B18" s="239" t="s">
        <v>18</v>
      </c>
      <c r="C18" s="240">
        <v>104080</v>
      </c>
      <c r="D18" s="240">
        <v>83839</v>
      </c>
      <c r="E18" s="240">
        <v>20241</v>
      </c>
      <c r="F18" s="231"/>
      <c r="G18" s="231"/>
    </row>
    <row r="19" spans="1:17" x14ac:dyDescent="0.3">
      <c r="A19" s="238">
        <v>13</v>
      </c>
      <c r="B19" s="239" t="s">
        <v>19</v>
      </c>
      <c r="C19" s="240">
        <v>87614</v>
      </c>
      <c r="D19" s="240">
        <v>49221</v>
      </c>
      <c r="E19" s="240">
        <v>38393</v>
      </c>
      <c r="F19" s="231"/>
      <c r="G19" s="231"/>
      <c r="Q19" s="100"/>
    </row>
    <row r="20" spans="1:17" x14ac:dyDescent="0.3">
      <c r="A20" s="238">
        <v>14</v>
      </c>
      <c r="B20" s="239" t="s">
        <v>20</v>
      </c>
      <c r="C20" s="240">
        <v>65550</v>
      </c>
      <c r="D20" s="240">
        <v>25065</v>
      </c>
      <c r="E20" s="240">
        <v>40485</v>
      </c>
      <c r="F20" s="231"/>
      <c r="G20" s="231"/>
    </row>
    <row r="21" spans="1:17" x14ac:dyDescent="0.3">
      <c r="A21" s="238">
        <v>15</v>
      </c>
      <c r="B21" s="239" t="s">
        <v>21</v>
      </c>
      <c r="C21" s="240">
        <v>113983</v>
      </c>
      <c r="D21" s="240">
        <v>46415</v>
      </c>
      <c r="E21" s="240">
        <v>67568</v>
      </c>
      <c r="F21" s="231"/>
      <c r="G21" s="231"/>
    </row>
    <row r="22" spans="1:17" x14ac:dyDescent="0.3">
      <c r="A22" s="238">
        <v>16</v>
      </c>
      <c r="B22" s="239" t="s">
        <v>22</v>
      </c>
      <c r="C22" s="240">
        <v>71245</v>
      </c>
      <c r="D22" s="240">
        <v>31415</v>
      </c>
      <c r="E22" s="240">
        <v>39830</v>
      </c>
      <c r="F22" s="231"/>
      <c r="G22" s="231"/>
    </row>
    <row r="23" spans="1:17" x14ac:dyDescent="0.3">
      <c r="A23" s="238">
        <v>17</v>
      </c>
      <c r="B23" s="239" t="s">
        <v>23</v>
      </c>
      <c r="C23" s="240">
        <v>74893</v>
      </c>
      <c r="D23" s="240">
        <v>25533</v>
      </c>
      <c r="E23" s="240">
        <v>49360</v>
      </c>
      <c r="F23" s="231"/>
      <c r="G23" s="231"/>
    </row>
    <row r="24" spans="1:17" x14ac:dyDescent="0.3">
      <c r="A24" s="238">
        <v>18</v>
      </c>
      <c r="B24" s="239" t="s">
        <v>24</v>
      </c>
      <c r="C24" s="240">
        <v>75222</v>
      </c>
      <c r="D24" s="240">
        <v>75222</v>
      </c>
      <c r="E24" s="240">
        <v>0</v>
      </c>
      <c r="F24" s="231"/>
      <c r="G24" s="231"/>
    </row>
    <row r="25" spans="1:17" x14ac:dyDescent="0.3">
      <c r="A25" s="238">
        <v>19</v>
      </c>
      <c r="B25" s="239" t="s">
        <v>25</v>
      </c>
      <c r="C25" s="240">
        <v>72140</v>
      </c>
      <c r="D25" s="240">
        <v>72140</v>
      </c>
      <c r="E25" s="240">
        <v>0</v>
      </c>
      <c r="F25" s="231"/>
      <c r="G25" s="231"/>
    </row>
    <row r="26" spans="1:17" x14ac:dyDescent="0.3">
      <c r="A26" s="238">
        <v>20</v>
      </c>
      <c r="B26" s="239" t="s">
        <v>26</v>
      </c>
      <c r="C26" s="240">
        <v>68247</v>
      </c>
      <c r="D26" s="240">
        <v>28934</v>
      </c>
      <c r="E26" s="240">
        <v>39313</v>
      </c>
      <c r="F26" s="231"/>
      <c r="G26" s="231"/>
    </row>
    <row r="27" spans="1:17" x14ac:dyDescent="0.3">
      <c r="A27" s="238">
        <v>21</v>
      </c>
      <c r="B27" s="239" t="s">
        <v>27</v>
      </c>
      <c r="C27" s="240">
        <v>60938</v>
      </c>
      <c r="D27" s="240">
        <v>60938</v>
      </c>
      <c r="E27" s="240">
        <v>0</v>
      </c>
      <c r="F27" s="231"/>
      <c r="G27" s="231"/>
    </row>
    <row r="28" spans="1:17" x14ac:dyDescent="0.3">
      <c r="A28" s="238">
        <v>22</v>
      </c>
      <c r="B28" s="239" t="s">
        <v>28</v>
      </c>
      <c r="C28" s="240">
        <v>58634</v>
      </c>
      <c r="D28" s="240">
        <v>22136</v>
      </c>
      <c r="E28" s="240">
        <v>36498</v>
      </c>
      <c r="F28" s="231"/>
      <c r="G28" s="231"/>
    </row>
    <row r="29" spans="1:17" x14ac:dyDescent="0.3">
      <c r="A29" s="238">
        <v>23</v>
      </c>
      <c r="B29" s="239" t="s">
        <v>29</v>
      </c>
      <c r="C29" s="240">
        <v>124031</v>
      </c>
      <c r="D29" s="240">
        <v>93542</v>
      </c>
      <c r="E29" s="240">
        <v>30489</v>
      </c>
      <c r="F29" s="231"/>
      <c r="G29" s="231"/>
    </row>
    <row r="30" spans="1:17" x14ac:dyDescent="0.3">
      <c r="A30" s="238">
        <v>24</v>
      </c>
      <c r="B30" s="239" t="s">
        <v>30</v>
      </c>
      <c r="C30" s="240">
        <v>0</v>
      </c>
      <c r="D30" s="240">
        <v>0</v>
      </c>
      <c r="E30" s="240">
        <v>0</v>
      </c>
      <c r="F30" s="231"/>
      <c r="G30" s="231"/>
    </row>
    <row r="31" spans="1:17" x14ac:dyDescent="0.3">
      <c r="A31" s="238">
        <v>25</v>
      </c>
      <c r="B31" s="239" t="s">
        <v>31</v>
      </c>
      <c r="C31" s="240">
        <v>101224</v>
      </c>
      <c r="D31" s="240">
        <v>101224</v>
      </c>
      <c r="E31" s="240">
        <v>0</v>
      </c>
      <c r="F31" s="231"/>
      <c r="G31" s="231"/>
    </row>
    <row r="32" spans="1:17" x14ac:dyDescent="0.3">
      <c r="A32" s="238">
        <v>26</v>
      </c>
      <c r="B32" s="239" t="s">
        <v>32</v>
      </c>
      <c r="C32" s="240">
        <v>85126</v>
      </c>
      <c r="D32" s="240">
        <v>76244</v>
      </c>
      <c r="E32" s="240">
        <v>8882</v>
      </c>
      <c r="F32" s="231"/>
      <c r="G32" s="231"/>
    </row>
    <row r="33" spans="1:7" x14ac:dyDescent="0.3">
      <c r="A33" s="238">
        <v>27</v>
      </c>
      <c r="B33" s="239" t="s">
        <v>33</v>
      </c>
      <c r="C33" s="240">
        <v>91866</v>
      </c>
      <c r="D33" s="240">
        <v>55131</v>
      </c>
      <c r="E33" s="240">
        <v>36735</v>
      </c>
      <c r="F33" s="231"/>
      <c r="G33" s="231"/>
    </row>
    <row r="34" spans="1:7" x14ac:dyDescent="0.3">
      <c r="A34" s="238">
        <v>28</v>
      </c>
      <c r="B34" s="239" t="s">
        <v>34</v>
      </c>
      <c r="C34" s="240">
        <v>161398</v>
      </c>
      <c r="D34" s="240">
        <v>161398</v>
      </c>
      <c r="E34" s="240">
        <v>0</v>
      </c>
      <c r="F34" s="231"/>
      <c r="G34" s="231"/>
    </row>
    <row r="35" spans="1:7" x14ac:dyDescent="0.3">
      <c r="A35" s="238">
        <v>29</v>
      </c>
      <c r="B35" s="239" t="s">
        <v>35</v>
      </c>
      <c r="C35" s="240">
        <v>103297</v>
      </c>
      <c r="D35" s="240">
        <v>103297</v>
      </c>
      <c r="E35" s="240">
        <v>0</v>
      </c>
      <c r="F35" s="231"/>
      <c r="G35" s="231"/>
    </row>
    <row r="36" spans="1:7" x14ac:dyDescent="0.3">
      <c r="A36" s="238">
        <v>30</v>
      </c>
      <c r="B36" s="239" t="s">
        <v>36</v>
      </c>
      <c r="C36" s="240">
        <v>130623</v>
      </c>
      <c r="D36" s="240">
        <v>130623</v>
      </c>
      <c r="E36" s="240">
        <v>0</v>
      </c>
      <c r="F36" s="231"/>
      <c r="G36" s="231"/>
    </row>
    <row r="37" spans="1:7" x14ac:dyDescent="0.3">
      <c r="A37" s="238">
        <v>31</v>
      </c>
      <c r="B37" s="239" t="s">
        <v>37</v>
      </c>
      <c r="C37" s="240">
        <v>128184</v>
      </c>
      <c r="D37" s="240">
        <v>54770</v>
      </c>
      <c r="E37" s="240">
        <v>73414</v>
      </c>
      <c r="F37" s="231"/>
      <c r="G37" s="231"/>
    </row>
    <row r="38" spans="1:7" x14ac:dyDescent="0.3">
      <c r="A38" s="238">
        <v>32</v>
      </c>
      <c r="B38" s="239" t="s">
        <v>38</v>
      </c>
      <c r="C38" s="240">
        <v>51276</v>
      </c>
      <c r="D38" s="240">
        <v>20145</v>
      </c>
      <c r="E38" s="240">
        <v>31131</v>
      </c>
      <c r="F38" s="231"/>
      <c r="G38" s="231"/>
    </row>
    <row r="39" spans="1:7" x14ac:dyDescent="0.3">
      <c r="A39" s="238">
        <v>33</v>
      </c>
      <c r="B39" s="239" t="s">
        <v>39</v>
      </c>
      <c r="C39" s="240">
        <v>134760</v>
      </c>
      <c r="D39" s="240">
        <v>59313</v>
      </c>
      <c r="E39" s="240">
        <v>75447</v>
      </c>
      <c r="F39" s="231"/>
      <c r="G39" s="231"/>
    </row>
    <row r="40" spans="1:7" x14ac:dyDescent="0.3">
      <c r="A40" s="238">
        <v>34</v>
      </c>
      <c r="B40" s="239" t="s">
        <v>40</v>
      </c>
      <c r="C40" s="240">
        <v>69806</v>
      </c>
      <c r="D40" s="240">
        <v>69806</v>
      </c>
      <c r="E40" s="240">
        <v>0</v>
      </c>
      <c r="F40" s="231"/>
      <c r="G40" s="231"/>
    </row>
    <row r="41" spans="1:7" x14ac:dyDescent="0.3">
      <c r="A41" s="238">
        <v>35</v>
      </c>
      <c r="B41" s="239" t="s">
        <v>41</v>
      </c>
      <c r="C41" s="240">
        <v>93043</v>
      </c>
      <c r="D41" s="240">
        <v>57552</v>
      </c>
      <c r="E41" s="240">
        <v>35491</v>
      </c>
      <c r="F41" s="231"/>
      <c r="G41" s="231"/>
    </row>
    <row r="42" spans="1:7" x14ac:dyDescent="0.3">
      <c r="A42" s="238">
        <v>36</v>
      </c>
      <c r="B42" s="239" t="s">
        <v>42</v>
      </c>
      <c r="C42" s="240">
        <v>99648</v>
      </c>
      <c r="D42" s="240">
        <v>45529</v>
      </c>
      <c r="E42" s="240">
        <v>54119</v>
      </c>
      <c r="F42" s="231"/>
      <c r="G42" s="231"/>
    </row>
    <row r="43" spans="1:7" x14ac:dyDescent="0.3">
      <c r="A43" s="238">
        <v>37</v>
      </c>
      <c r="B43" s="239" t="s">
        <v>43</v>
      </c>
      <c r="C43" s="240">
        <v>133061</v>
      </c>
      <c r="D43" s="240">
        <v>118382</v>
      </c>
      <c r="E43" s="240">
        <v>14679</v>
      </c>
      <c r="F43" s="231"/>
      <c r="G43" s="231"/>
    </row>
    <row r="44" spans="1:7" x14ac:dyDescent="0.3">
      <c r="A44" s="238">
        <v>38</v>
      </c>
      <c r="B44" s="239" t="s">
        <v>44</v>
      </c>
      <c r="C44" s="240">
        <v>120768</v>
      </c>
      <c r="D44" s="240">
        <v>96229</v>
      </c>
      <c r="E44" s="240">
        <v>24539</v>
      </c>
      <c r="F44" s="231"/>
      <c r="G44" s="231"/>
    </row>
    <row r="45" spans="1:7" x14ac:dyDescent="0.3">
      <c r="A45" s="238">
        <v>39</v>
      </c>
      <c r="B45" s="239" t="s">
        <v>45</v>
      </c>
      <c r="C45" s="240">
        <v>102880</v>
      </c>
      <c r="D45" s="240">
        <v>102880</v>
      </c>
      <c r="E45" s="240">
        <v>0</v>
      </c>
      <c r="F45" s="231"/>
      <c r="G45" s="231"/>
    </row>
    <row r="46" spans="1:7" x14ac:dyDescent="0.3">
      <c r="A46" s="238">
        <v>40</v>
      </c>
      <c r="B46" s="239" t="s">
        <v>46</v>
      </c>
      <c r="C46" s="240">
        <v>102453</v>
      </c>
      <c r="D46" s="240">
        <v>30135</v>
      </c>
      <c r="E46" s="240">
        <v>72318</v>
      </c>
      <c r="F46" s="231"/>
      <c r="G46" s="231"/>
    </row>
    <row r="47" spans="1:7" x14ac:dyDescent="0.3">
      <c r="A47" s="238">
        <v>41</v>
      </c>
      <c r="B47" s="239" t="s">
        <v>355</v>
      </c>
      <c r="C47" s="240">
        <v>45108</v>
      </c>
      <c r="D47" s="240">
        <v>45108</v>
      </c>
      <c r="E47" s="240">
        <v>0</v>
      </c>
      <c r="F47" s="231"/>
      <c r="G47" s="231"/>
    </row>
    <row r="48" spans="1:7" x14ac:dyDescent="0.3">
      <c r="A48" s="238">
        <v>42</v>
      </c>
      <c r="B48" s="239" t="s">
        <v>356</v>
      </c>
      <c r="C48" s="240">
        <v>0</v>
      </c>
      <c r="D48" s="240">
        <v>0</v>
      </c>
      <c r="E48" s="240">
        <v>0</v>
      </c>
      <c r="F48" s="231"/>
      <c r="G48" s="231"/>
    </row>
    <row r="49" spans="1:7" x14ac:dyDescent="0.3">
      <c r="A49" s="238"/>
      <c r="B49" s="239" t="s">
        <v>361</v>
      </c>
      <c r="C49" s="240">
        <v>482766</v>
      </c>
      <c r="D49" s="240">
        <v>482766</v>
      </c>
      <c r="E49" s="240">
        <v>0</v>
      </c>
      <c r="F49" s="231"/>
      <c r="G49" s="231"/>
    </row>
    <row r="50" spans="1:7" x14ac:dyDescent="0.3">
      <c r="A50" s="99"/>
      <c r="B50" s="241" t="s">
        <v>49</v>
      </c>
      <c r="C50" s="154">
        <v>4878106</v>
      </c>
      <c r="D50" s="154">
        <v>4031941</v>
      </c>
      <c r="E50" s="154">
        <v>846165</v>
      </c>
      <c r="F50" s="231"/>
      <c r="G50" s="231"/>
    </row>
    <row r="51" spans="1:7" x14ac:dyDescent="0.3">
      <c r="D51" s="235"/>
    </row>
    <row r="52" spans="1:7" x14ac:dyDescent="0.3">
      <c r="C52" s="235"/>
    </row>
    <row r="53" spans="1:7" x14ac:dyDescent="0.3">
      <c r="C53" s="235"/>
      <c r="D53" s="235"/>
      <c r="E53" s="235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55118110236227" right="0.39370078740157483" top="0.39370078740157483" bottom="0.39370078740157483" header="0" footer="0"/>
  <pageSetup paperSize="9" scale="76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Q49"/>
  <sheetViews>
    <sheetView view="pageBreakPreview" zoomScaleNormal="100" zoomScaleSheetLayoutView="100" workbookViewId="0">
      <selection activeCell="B9" sqref="B9"/>
    </sheetView>
  </sheetViews>
  <sheetFormatPr defaultRowHeight="18.75" x14ac:dyDescent="0.3"/>
  <cols>
    <col min="1" max="1" width="6" style="33" customWidth="1"/>
    <col min="2" max="2" width="57.42578125" style="33" customWidth="1"/>
    <col min="3" max="5" width="15.7109375" style="33" customWidth="1"/>
    <col min="6" max="6" width="9.140625" style="33"/>
    <col min="7" max="7" width="9.140625" style="33" customWidth="1"/>
    <col min="8" max="9" width="9.140625" style="33"/>
    <col min="10" max="10" width="9.140625" style="33" customWidth="1"/>
    <col min="11" max="16384" width="9.140625" style="33"/>
  </cols>
  <sheetData>
    <row r="1" spans="1:5" x14ac:dyDescent="0.3">
      <c r="A1" s="554" t="s">
        <v>341</v>
      </c>
      <c r="B1" s="554"/>
      <c r="C1" s="554"/>
      <c r="D1" s="554"/>
      <c r="E1" s="554"/>
    </row>
    <row r="2" spans="1:5" ht="132.75" customHeight="1" x14ac:dyDescent="0.3">
      <c r="A2" s="555" t="s">
        <v>449</v>
      </c>
      <c r="B2" s="555"/>
      <c r="C2" s="555"/>
      <c r="D2" s="555"/>
      <c r="E2" s="555"/>
    </row>
    <row r="3" spans="1:5" ht="18.75" customHeight="1" x14ac:dyDescent="0.3">
      <c r="A3" s="556" t="s">
        <v>51</v>
      </c>
      <c r="B3" s="558" t="s">
        <v>52</v>
      </c>
      <c r="C3" s="560" t="s">
        <v>2</v>
      </c>
      <c r="D3" s="560"/>
      <c r="E3" s="560"/>
    </row>
    <row r="4" spans="1:5" ht="18.75" customHeight="1" x14ac:dyDescent="0.3">
      <c r="A4" s="556"/>
      <c r="B4" s="558"/>
      <c r="C4" s="561" t="s">
        <v>3</v>
      </c>
      <c r="D4" s="563" t="s">
        <v>4</v>
      </c>
      <c r="E4" s="564"/>
    </row>
    <row r="5" spans="1:5" ht="18.75" customHeight="1" x14ac:dyDescent="0.3">
      <c r="A5" s="557" t="s">
        <v>51</v>
      </c>
      <c r="B5" s="559" t="s">
        <v>52</v>
      </c>
      <c r="C5" s="562"/>
      <c r="D5" s="114" t="s">
        <v>5</v>
      </c>
      <c r="E5" s="34" t="s">
        <v>6</v>
      </c>
    </row>
    <row r="6" spans="1:5" ht="15.75" customHeight="1" x14ac:dyDescent="0.3">
      <c r="A6" s="35" t="s">
        <v>53</v>
      </c>
      <c r="B6" s="35" t="s">
        <v>54</v>
      </c>
      <c r="C6" s="35" t="s">
        <v>55</v>
      </c>
      <c r="D6" s="35">
        <v>4</v>
      </c>
      <c r="E6" s="36">
        <v>5</v>
      </c>
    </row>
    <row r="7" spans="1:5" x14ac:dyDescent="0.3">
      <c r="A7" s="35">
        <v>1</v>
      </c>
      <c r="B7" s="38" t="s">
        <v>7</v>
      </c>
      <c r="C7" s="345">
        <v>0</v>
      </c>
      <c r="D7" s="345">
        <v>0</v>
      </c>
      <c r="E7" s="345">
        <v>0</v>
      </c>
    </row>
    <row r="8" spans="1:5" x14ac:dyDescent="0.3">
      <c r="A8" s="35">
        <v>2</v>
      </c>
      <c r="B8" s="38" t="s">
        <v>8</v>
      </c>
      <c r="C8" s="345">
        <v>0</v>
      </c>
      <c r="D8" s="345">
        <v>0</v>
      </c>
      <c r="E8" s="345">
        <v>0</v>
      </c>
    </row>
    <row r="9" spans="1:5" x14ac:dyDescent="0.3">
      <c r="A9" s="35">
        <v>3</v>
      </c>
      <c r="B9" s="38" t="s">
        <v>9</v>
      </c>
      <c r="C9" s="345">
        <v>0</v>
      </c>
      <c r="D9" s="345">
        <v>0</v>
      </c>
      <c r="E9" s="345">
        <v>0</v>
      </c>
    </row>
    <row r="10" spans="1:5" x14ac:dyDescent="0.3">
      <c r="A10" s="35">
        <v>4</v>
      </c>
      <c r="B10" s="38" t="s">
        <v>10</v>
      </c>
      <c r="C10" s="345">
        <v>0</v>
      </c>
      <c r="D10" s="345">
        <v>0</v>
      </c>
      <c r="E10" s="345">
        <v>0</v>
      </c>
    </row>
    <row r="11" spans="1:5" x14ac:dyDescent="0.3">
      <c r="A11" s="35">
        <v>5</v>
      </c>
      <c r="B11" s="38" t="s">
        <v>11</v>
      </c>
      <c r="C11" s="345">
        <v>4374</v>
      </c>
      <c r="D11" s="345">
        <v>4374</v>
      </c>
      <c r="E11" s="345">
        <v>4374</v>
      </c>
    </row>
    <row r="12" spans="1:5" x14ac:dyDescent="0.3">
      <c r="A12" s="35">
        <v>6</v>
      </c>
      <c r="B12" s="39" t="s">
        <v>12</v>
      </c>
      <c r="C12" s="345">
        <v>1368</v>
      </c>
      <c r="D12" s="345">
        <v>1368</v>
      </c>
      <c r="E12" s="345">
        <v>1368</v>
      </c>
    </row>
    <row r="13" spans="1:5" x14ac:dyDescent="0.3">
      <c r="A13" s="35">
        <v>7</v>
      </c>
      <c r="B13" s="39" t="s">
        <v>337</v>
      </c>
      <c r="C13" s="345">
        <v>720</v>
      </c>
      <c r="D13" s="345">
        <v>720</v>
      </c>
      <c r="E13" s="345">
        <v>720</v>
      </c>
    </row>
    <row r="14" spans="1:5" x14ac:dyDescent="0.3">
      <c r="A14" s="35">
        <v>8</v>
      </c>
      <c r="B14" s="39" t="s">
        <v>14</v>
      </c>
      <c r="C14" s="346">
        <v>864</v>
      </c>
      <c r="D14" s="346">
        <v>864</v>
      </c>
      <c r="E14" s="346">
        <v>864</v>
      </c>
    </row>
    <row r="15" spans="1:5" x14ac:dyDescent="0.3">
      <c r="A15" s="35">
        <v>9</v>
      </c>
      <c r="B15" s="39" t="s">
        <v>15</v>
      </c>
      <c r="C15" s="346">
        <v>1116</v>
      </c>
      <c r="D15" s="346">
        <v>1116</v>
      </c>
      <c r="E15" s="346">
        <v>1116</v>
      </c>
    </row>
    <row r="16" spans="1:5" x14ac:dyDescent="0.3">
      <c r="A16" s="35">
        <v>10</v>
      </c>
      <c r="B16" s="37" t="s">
        <v>16</v>
      </c>
      <c r="C16" s="345">
        <v>432</v>
      </c>
      <c r="D16" s="345">
        <v>432</v>
      </c>
      <c r="E16" s="345">
        <v>432</v>
      </c>
    </row>
    <row r="17" spans="1:17" x14ac:dyDescent="0.3">
      <c r="A17" s="35">
        <v>11</v>
      </c>
      <c r="B17" s="37" t="s">
        <v>17</v>
      </c>
      <c r="C17" s="345">
        <v>1008</v>
      </c>
      <c r="D17" s="345">
        <v>1008</v>
      </c>
      <c r="E17" s="345">
        <v>1008</v>
      </c>
    </row>
    <row r="18" spans="1:17" x14ac:dyDescent="0.3">
      <c r="A18" s="35">
        <v>12</v>
      </c>
      <c r="B18" s="38" t="s">
        <v>18</v>
      </c>
      <c r="C18" s="345">
        <v>1206</v>
      </c>
      <c r="D18" s="345">
        <v>1206</v>
      </c>
      <c r="E18" s="345">
        <v>1206</v>
      </c>
    </row>
    <row r="19" spans="1:17" x14ac:dyDescent="0.3">
      <c r="A19" s="35">
        <v>13</v>
      </c>
      <c r="B19" s="38" t="s">
        <v>19</v>
      </c>
      <c r="C19" s="345">
        <v>558</v>
      </c>
      <c r="D19" s="345">
        <v>558</v>
      </c>
      <c r="E19" s="345">
        <v>558</v>
      </c>
      <c r="Q19" s="215"/>
    </row>
    <row r="20" spans="1:17" x14ac:dyDescent="0.3">
      <c r="A20" s="35">
        <v>14</v>
      </c>
      <c r="B20" s="38" t="s">
        <v>20</v>
      </c>
      <c r="C20" s="345">
        <v>1782</v>
      </c>
      <c r="D20" s="345">
        <v>1782</v>
      </c>
      <c r="E20" s="345">
        <v>1782</v>
      </c>
    </row>
    <row r="21" spans="1:17" x14ac:dyDescent="0.3">
      <c r="A21" s="35">
        <v>15</v>
      </c>
      <c r="B21" s="38" t="s">
        <v>21</v>
      </c>
      <c r="C21" s="345">
        <v>4446</v>
      </c>
      <c r="D21" s="345">
        <v>4446</v>
      </c>
      <c r="E21" s="345">
        <v>4446</v>
      </c>
    </row>
    <row r="22" spans="1:17" x14ac:dyDescent="0.3">
      <c r="A22" s="35">
        <v>16</v>
      </c>
      <c r="B22" s="38" t="s">
        <v>22</v>
      </c>
      <c r="C22" s="345">
        <v>2214</v>
      </c>
      <c r="D22" s="345">
        <v>2214</v>
      </c>
      <c r="E22" s="345">
        <v>2214</v>
      </c>
    </row>
    <row r="23" spans="1:17" x14ac:dyDescent="0.3">
      <c r="A23" s="35">
        <v>17</v>
      </c>
      <c r="B23" s="38" t="s">
        <v>23</v>
      </c>
      <c r="C23" s="345">
        <v>1620</v>
      </c>
      <c r="D23" s="345">
        <v>1620</v>
      </c>
      <c r="E23" s="345">
        <v>1620</v>
      </c>
    </row>
    <row r="24" spans="1:17" x14ac:dyDescent="0.3">
      <c r="A24" s="35">
        <v>18</v>
      </c>
      <c r="B24" s="38" t="s">
        <v>24</v>
      </c>
      <c r="C24" s="345">
        <v>3600</v>
      </c>
      <c r="D24" s="345">
        <v>3600</v>
      </c>
      <c r="E24" s="345">
        <v>3600</v>
      </c>
    </row>
    <row r="25" spans="1:17" x14ac:dyDescent="0.3">
      <c r="A25" s="35">
        <v>19</v>
      </c>
      <c r="B25" s="38" t="s">
        <v>25</v>
      </c>
      <c r="C25" s="345">
        <v>1404</v>
      </c>
      <c r="D25" s="345">
        <v>1404</v>
      </c>
      <c r="E25" s="345">
        <v>1404</v>
      </c>
    </row>
    <row r="26" spans="1:17" x14ac:dyDescent="0.3">
      <c r="A26" s="35">
        <v>20</v>
      </c>
      <c r="B26" s="38" t="s">
        <v>26</v>
      </c>
      <c r="C26" s="345">
        <v>774</v>
      </c>
      <c r="D26" s="345">
        <v>774</v>
      </c>
      <c r="E26" s="345">
        <v>774</v>
      </c>
    </row>
    <row r="27" spans="1:17" x14ac:dyDescent="0.3">
      <c r="A27" s="35">
        <v>21</v>
      </c>
      <c r="B27" s="38" t="s">
        <v>27</v>
      </c>
      <c r="C27" s="345">
        <v>2628</v>
      </c>
      <c r="D27" s="345">
        <v>2628</v>
      </c>
      <c r="E27" s="345">
        <v>2628</v>
      </c>
    </row>
    <row r="28" spans="1:17" x14ac:dyDescent="0.3">
      <c r="A28" s="35">
        <v>22</v>
      </c>
      <c r="B28" s="38" t="s">
        <v>28</v>
      </c>
      <c r="C28" s="345">
        <v>1638</v>
      </c>
      <c r="D28" s="345">
        <v>1638</v>
      </c>
      <c r="E28" s="345">
        <v>1638</v>
      </c>
    </row>
    <row r="29" spans="1:17" x14ac:dyDescent="0.3">
      <c r="A29" s="35">
        <v>23</v>
      </c>
      <c r="B29" s="38" t="s">
        <v>29</v>
      </c>
      <c r="C29" s="345">
        <v>2196</v>
      </c>
      <c r="D29" s="345">
        <v>2196</v>
      </c>
      <c r="E29" s="345">
        <v>2196</v>
      </c>
    </row>
    <row r="30" spans="1:17" x14ac:dyDescent="0.3">
      <c r="A30" s="35">
        <v>24</v>
      </c>
      <c r="B30" s="38" t="s">
        <v>30</v>
      </c>
      <c r="C30" s="345">
        <v>11520</v>
      </c>
      <c r="D30" s="345">
        <v>11520</v>
      </c>
      <c r="E30" s="345">
        <v>11520</v>
      </c>
    </row>
    <row r="31" spans="1:17" x14ac:dyDescent="0.3">
      <c r="A31" s="35">
        <v>25</v>
      </c>
      <c r="B31" s="38" t="s">
        <v>31</v>
      </c>
      <c r="C31" s="345">
        <v>1422</v>
      </c>
      <c r="D31" s="345">
        <v>1422</v>
      </c>
      <c r="E31" s="345">
        <v>1422</v>
      </c>
    </row>
    <row r="32" spans="1:17" x14ac:dyDescent="0.3">
      <c r="A32" s="35">
        <v>26</v>
      </c>
      <c r="B32" s="38" t="s">
        <v>32</v>
      </c>
      <c r="C32" s="345">
        <v>2340</v>
      </c>
      <c r="D32" s="345">
        <v>2340</v>
      </c>
      <c r="E32" s="345">
        <v>2340</v>
      </c>
    </row>
    <row r="33" spans="1:5" x14ac:dyDescent="0.3">
      <c r="A33" s="35">
        <v>27</v>
      </c>
      <c r="B33" s="38" t="s">
        <v>33</v>
      </c>
      <c r="C33" s="345">
        <v>2412</v>
      </c>
      <c r="D33" s="345">
        <v>2412</v>
      </c>
      <c r="E33" s="345">
        <v>2412</v>
      </c>
    </row>
    <row r="34" spans="1:5" x14ac:dyDescent="0.3">
      <c r="A34" s="35">
        <v>28</v>
      </c>
      <c r="B34" s="38" t="s">
        <v>34</v>
      </c>
      <c r="C34" s="345">
        <v>10134</v>
      </c>
      <c r="D34" s="345">
        <v>10134</v>
      </c>
      <c r="E34" s="345">
        <v>10134</v>
      </c>
    </row>
    <row r="35" spans="1:5" x14ac:dyDescent="0.3">
      <c r="A35" s="35">
        <v>29</v>
      </c>
      <c r="B35" s="38" t="s">
        <v>35</v>
      </c>
      <c r="C35" s="345">
        <v>792</v>
      </c>
      <c r="D35" s="345">
        <v>792</v>
      </c>
      <c r="E35" s="345">
        <v>792</v>
      </c>
    </row>
    <row r="36" spans="1:5" x14ac:dyDescent="0.3">
      <c r="A36" s="35">
        <v>30</v>
      </c>
      <c r="B36" s="38" t="s">
        <v>36</v>
      </c>
      <c r="C36" s="345">
        <v>2592</v>
      </c>
      <c r="D36" s="345">
        <v>2592</v>
      </c>
      <c r="E36" s="345">
        <v>2592</v>
      </c>
    </row>
    <row r="37" spans="1:5" x14ac:dyDescent="0.3">
      <c r="A37" s="35">
        <v>31</v>
      </c>
      <c r="B37" s="38" t="s">
        <v>37</v>
      </c>
      <c r="C37" s="345">
        <v>4518</v>
      </c>
      <c r="D37" s="345">
        <v>4518</v>
      </c>
      <c r="E37" s="345">
        <v>4518</v>
      </c>
    </row>
    <row r="38" spans="1:5" x14ac:dyDescent="0.3">
      <c r="A38" s="35">
        <v>32</v>
      </c>
      <c r="B38" s="38" t="s">
        <v>38</v>
      </c>
      <c r="C38" s="345">
        <v>1206</v>
      </c>
      <c r="D38" s="345">
        <v>1206</v>
      </c>
      <c r="E38" s="345">
        <v>1206</v>
      </c>
    </row>
    <row r="39" spans="1:5" x14ac:dyDescent="0.3">
      <c r="A39" s="35">
        <v>33</v>
      </c>
      <c r="B39" s="38" t="s">
        <v>39</v>
      </c>
      <c r="C39" s="345">
        <v>3348</v>
      </c>
      <c r="D39" s="345">
        <v>3348</v>
      </c>
      <c r="E39" s="345">
        <v>3348</v>
      </c>
    </row>
    <row r="40" spans="1:5" x14ac:dyDescent="0.3">
      <c r="A40" s="35">
        <v>34</v>
      </c>
      <c r="B40" s="38" t="s">
        <v>40</v>
      </c>
      <c r="C40" s="345">
        <v>2610</v>
      </c>
      <c r="D40" s="345">
        <v>2610</v>
      </c>
      <c r="E40" s="345">
        <v>2610</v>
      </c>
    </row>
    <row r="41" spans="1:5" x14ac:dyDescent="0.3">
      <c r="A41" s="35">
        <v>35</v>
      </c>
      <c r="B41" s="38" t="s">
        <v>41</v>
      </c>
      <c r="C41" s="345">
        <v>2520</v>
      </c>
      <c r="D41" s="345">
        <v>2520</v>
      </c>
      <c r="E41" s="345">
        <v>2520</v>
      </c>
    </row>
    <row r="42" spans="1:5" x14ac:dyDescent="0.3">
      <c r="A42" s="35">
        <v>36</v>
      </c>
      <c r="B42" s="38" t="s">
        <v>42</v>
      </c>
      <c r="C42" s="345">
        <v>2970</v>
      </c>
      <c r="D42" s="345">
        <v>2970</v>
      </c>
      <c r="E42" s="345">
        <v>2970</v>
      </c>
    </row>
    <row r="43" spans="1:5" x14ac:dyDescent="0.3">
      <c r="A43" s="35">
        <v>37</v>
      </c>
      <c r="B43" s="38" t="s">
        <v>43</v>
      </c>
      <c r="C43" s="345">
        <v>3726</v>
      </c>
      <c r="D43" s="345">
        <v>3726</v>
      </c>
      <c r="E43" s="345">
        <v>3726</v>
      </c>
    </row>
    <row r="44" spans="1:5" x14ac:dyDescent="0.3">
      <c r="A44" s="35">
        <v>38</v>
      </c>
      <c r="B44" s="38" t="s">
        <v>44</v>
      </c>
      <c r="C44" s="345">
        <v>4788</v>
      </c>
      <c r="D44" s="345">
        <v>4788</v>
      </c>
      <c r="E44" s="345">
        <v>4788</v>
      </c>
    </row>
    <row r="45" spans="1:5" x14ac:dyDescent="0.3">
      <c r="A45" s="35">
        <v>39</v>
      </c>
      <c r="B45" s="38" t="s">
        <v>45</v>
      </c>
      <c r="C45" s="345">
        <v>1602</v>
      </c>
      <c r="D45" s="345">
        <v>1602</v>
      </c>
      <c r="E45" s="345">
        <v>1602</v>
      </c>
    </row>
    <row r="46" spans="1:5" x14ac:dyDescent="0.3">
      <c r="A46" s="35">
        <v>40</v>
      </c>
      <c r="B46" s="38" t="s">
        <v>46</v>
      </c>
      <c r="C46" s="345">
        <v>2520</v>
      </c>
      <c r="D46" s="345">
        <v>2520</v>
      </c>
      <c r="E46" s="345">
        <v>2520</v>
      </c>
    </row>
    <row r="47" spans="1:5" x14ac:dyDescent="0.3">
      <c r="A47" s="35">
        <v>41</v>
      </c>
      <c r="B47" s="38" t="s">
        <v>47</v>
      </c>
      <c r="C47" s="345">
        <v>0</v>
      </c>
      <c r="D47" s="345">
        <v>0</v>
      </c>
      <c r="E47" s="345">
        <v>0</v>
      </c>
    </row>
    <row r="48" spans="1:5" x14ac:dyDescent="0.3">
      <c r="A48" s="35">
        <v>42</v>
      </c>
      <c r="B48" s="38" t="s">
        <v>48</v>
      </c>
      <c r="C48" s="345">
        <v>0</v>
      </c>
      <c r="D48" s="345">
        <v>0</v>
      </c>
      <c r="E48" s="345">
        <v>0</v>
      </c>
    </row>
    <row r="49" spans="1:5" x14ac:dyDescent="0.3">
      <c r="A49" s="40"/>
      <c r="B49" s="41" t="s">
        <v>49</v>
      </c>
      <c r="C49" s="42">
        <f>SUM(C11:C46)</f>
        <v>94968</v>
      </c>
      <c r="D49" s="42">
        <f t="shared" ref="D49:E49" si="0">SUM(D11:D46)</f>
        <v>94968</v>
      </c>
      <c r="E49" s="42">
        <f t="shared" si="0"/>
        <v>94968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FF126"/>
  <sheetViews>
    <sheetView view="pageBreakPreview" zoomScaleNormal="100" zoomScaleSheetLayoutView="100" workbookViewId="0">
      <selection activeCell="K53" sqref="K53"/>
    </sheetView>
  </sheetViews>
  <sheetFormatPr defaultRowHeight="18.75" x14ac:dyDescent="0.3"/>
  <cols>
    <col min="1" max="1" width="6.28515625" style="366" customWidth="1"/>
    <col min="2" max="2" width="55.28515625" style="371" customWidth="1"/>
    <col min="3" max="3" width="15.7109375" style="371" customWidth="1"/>
    <col min="4" max="4" width="20.7109375" style="371" customWidth="1"/>
    <col min="5" max="5" width="17.5703125" style="371" customWidth="1"/>
    <col min="6" max="6" width="15.7109375" style="347" customWidth="1"/>
    <col min="7" max="7" width="20.7109375" style="347" customWidth="1"/>
    <col min="8" max="8" width="17" style="347" customWidth="1"/>
    <col min="9" max="9" width="15.7109375" style="347" customWidth="1"/>
    <col min="10" max="10" width="20.7109375" style="347" customWidth="1"/>
    <col min="11" max="11" width="17" style="347" customWidth="1"/>
    <col min="12" max="256" width="9.140625" style="347"/>
    <col min="257" max="257" width="6.28515625" style="347" customWidth="1"/>
    <col min="258" max="258" width="44" style="347" customWidth="1"/>
    <col min="259" max="259" width="12.85546875" style="347" bestFit="1" customWidth="1"/>
    <col min="260" max="260" width="17.42578125" style="347" customWidth="1"/>
    <col min="261" max="261" width="15" style="347" customWidth="1"/>
    <col min="262" max="262" width="12.85546875" style="347" bestFit="1" customWidth="1"/>
    <col min="263" max="263" width="17.28515625" style="347" customWidth="1"/>
    <col min="264" max="264" width="14.85546875" style="347" customWidth="1"/>
    <col min="265" max="265" width="12.85546875" style="347" bestFit="1" customWidth="1"/>
    <col min="266" max="266" width="17.42578125" style="347" customWidth="1"/>
    <col min="267" max="267" width="15" style="347" customWidth="1"/>
    <col min="268" max="512" width="9.140625" style="347"/>
    <col min="513" max="513" width="6.28515625" style="347" customWidth="1"/>
    <col min="514" max="514" width="44" style="347" customWidth="1"/>
    <col min="515" max="515" width="12.85546875" style="347" bestFit="1" customWidth="1"/>
    <col min="516" max="516" width="17.42578125" style="347" customWidth="1"/>
    <col min="517" max="517" width="15" style="347" customWidth="1"/>
    <col min="518" max="518" width="12.85546875" style="347" bestFit="1" customWidth="1"/>
    <col min="519" max="519" width="17.28515625" style="347" customWidth="1"/>
    <col min="520" max="520" width="14.85546875" style="347" customWidth="1"/>
    <col min="521" max="521" width="12.85546875" style="347" bestFit="1" customWidth="1"/>
    <col min="522" max="522" width="17.42578125" style="347" customWidth="1"/>
    <col min="523" max="523" width="15" style="347" customWidth="1"/>
    <col min="524" max="768" width="9.140625" style="347"/>
    <col min="769" max="769" width="6.28515625" style="347" customWidth="1"/>
    <col min="770" max="770" width="44" style="347" customWidth="1"/>
    <col min="771" max="771" width="12.85546875" style="347" bestFit="1" customWidth="1"/>
    <col min="772" max="772" width="17.42578125" style="347" customWidth="1"/>
    <col min="773" max="773" width="15" style="347" customWidth="1"/>
    <col min="774" max="774" width="12.85546875" style="347" bestFit="1" customWidth="1"/>
    <col min="775" max="775" width="17.28515625" style="347" customWidth="1"/>
    <col min="776" max="776" width="14.85546875" style="347" customWidth="1"/>
    <col min="777" max="777" width="12.85546875" style="347" bestFit="1" customWidth="1"/>
    <col min="778" max="778" width="17.42578125" style="347" customWidth="1"/>
    <col min="779" max="779" width="15" style="347" customWidth="1"/>
    <col min="780" max="1024" width="9.140625" style="347"/>
    <col min="1025" max="1025" width="6.28515625" style="347" customWidth="1"/>
    <col min="1026" max="1026" width="44" style="347" customWidth="1"/>
    <col min="1027" max="1027" width="12.85546875" style="347" bestFit="1" customWidth="1"/>
    <col min="1028" max="1028" width="17.42578125" style="347" customWidth="1"/>
    <col min="1029" max="1029" width="15" style="347" customWidth="1"/>
    <col min="1030" max="1030" width="12.85546875" style="347" bestFit="1" customWidth="1"/>
    <col min="1031" max="1031" width="17.28515625" style="347" customWidth="1"/>
    <col min="1032" max="1032" width="14.85546875" style="347" customWidth="1"/>
    <col min="1033" max="1033" width="12.85546875" style="347" bestFit="1" customWidth="1"/>
    <col min="1034" max="1034" width="17.42578125" style="347" customWidth="1"/>
    <col min="1035" max="1035" width="15" style="347" customWidth="1"/>
    <col min="1036" max="1280" width="9.140625" style="347"/>
    <col min="1281" max="1281" width="6.28515625" style="347" customWidth="1"/>
    <col min="1282" max="1282" width="44" style="347" customWidth="1"/>
    <col min="1283" max="1283" width="12.85546875" style="347" bestFit="1" customWidth="1"/>
    <col min="1284" max="1284" width="17.42578125" style="347" customWidth="1"/>
    <col min="1285" max="1285" width="15" style="347" customWidth="1"/>
    <col min="1286" max="1286" width="12.85546875" style="347" bestFit="1" customWidth="1"/>
    <col min="1287" max="1287" width="17.28515625" style="347" customWidth="1"/>
    <col min="1288" max="1288" width="14.85546875" style="347" customWidth="1"/>
    <col min="1289" max="1289" width="12.85546875" style="347" bestFit="1" customWidth="1"/>
    <col min="1290" max="1290" width="17.42578125" style="347" customWidth="1"/>
    <col min="1291" max="1291" width="15" style="347" customWidth="1"/>
    <col min="1292" max="1536" width="9.140625" style="347"/>
    <col min="1537" max="1537" width="6.28515625" style="347" customWidth="1"/>
    <col min="1538" max="1538" width="44" style="347" customWidth="1"/>
    <col min="1539" max="1539" width="12.85546875" style="347" bestFit="1" customWidth="1"/>
    <col min="1540" max="1540" width="17.42578125" style="347" customWidth="1"/>
    <col min="1541" max="1541" width="15" style="347" customWidth="1"/>
    <col min="1542" max="1542" width="12.85546875" style="347" bestFit="1" customWidth="1"/>
    <col min="1543" max="1543" width="17.28515625" style="347" customWidth="1"/>
    <col min="1544" max="1544" width="14.85546875" style="347" customWidth="1"/>
    <col min="1545" max="1545" width="12.85546875" style="347" bestFit="1" customWidth="1"/>
    <col min="1546" max="1546" width="17.42578125" style="347" customWidth="1"/>
    <col min="1547" max="1547" width="15" style="347" customWidth="1"/>
    <col min="1548" max="1792" width="9.140625" style="347"/>
    <col min="1793" max="1793" width="6.28515625" style="347" customWidth="1"/>
    <col min="1794" max="1794" width="44" style="347" customWidth="1"/>
    <col min="1795" max="1795" width="12.85546875" style="347" bestFit="1" customWidth="1"/>
    <col min="1796" max="1796" width="17.42578125" style="347" customWidth="1"/>
    <col min="1797" max="1797" width="15" style="347" customWidth="1"/>
    <col min="1798" max="1798" width="12.85546875" style="347" bestFit="1" customWidth="1"/>
    <col min="1799" max="1799" width="17.28515625" style="347" customWidth="1"/>
    <col min="1800" max="1800" width="14.85546875" style="347" customWidth="1"/>
    <col min="1801" max="1801" width="12.85546875" style="347" bestFit="1" customWidth="1"/>
    <col min="1802" max="1802" width="17.42578125" style="347" customWidth="1"/>
    <col min="1803" max="1803" width="15" style="347" customWidth="1"/>
    <col min="1804" max="2048" width="9.140625" style="347"/>
    <col min="2049" max="2049" width="6.28515625" style="347" customWidth="1"/>
    <col min="2050" max="2050" width="44" style="347" customWidth="1"/>
    <col min="2051" max="2051" width="12.85546875" style="347" bestFit="1" customWidth="1"/>
    <col min="2052" max="2052" width="17.42578125" style="347" customWidth="1"/>
    <col min="2053" max="2053" width="15" style="347" customWidth="1"/>
    <col min="2054" max="2054" width="12.85546875" style="347" bestFit="1" customWidth="1"/>
    <col min="2055" max="2055" width="17.28515625" style="347" customWidth="1"/>
    <col min="2056" max="2056" width="14.85546875" style="347" customWidth="1"/>
    <col min="2057" max="2057" width="12.85546875" style="347" bestFit="1" customWidth="1"/>
    <col min="2058" max="2058" width="17.42578125" style="347" customWidth="1"/>
    <col min="2059" max="2059" width="15" style="347" customWidth="1"/>
    <col min="2060" max="2304" width="9.140625" style="347"/>
    <col min="2305" max="2305" width="6.28515625" style="347" customWidth="1"/>
    <col min="2306" max="2306" width="44" style="347" customWidth="1"/>
    <col min="2307" max="2307" width="12.85546875" style="347" bestFit="1" customWidth="1"/>
    <col min="2308" max="2308" width="17.42578125" style="347" customWidth="1"/>
    <col min="2309" max="2309" width="15" style="347" customWidth="1"/>
    <col min="2310" max="2310" width="12.85546875" style="347" bestFit="1" customWidth="1"/>
    <col min="2311" max="2311" width="17.28515625" style="347" customWidth="1"/>
    <col min="2312" max="2312" width="14.85546875" style="347" customWidth="1"/>
    <col min="2313" max="2313" width="12.85546875" style="347" bestFit="1" customWidth="1"/>
    <col min="2314" max="2314" width="17.42578125" style="347" customWidth="1"/>
    <col min="2315" max="2315" width="15" style="347" customWidth="1"/>
    <col min="2316" max="2560" width="9.140625" style="347"/>
    <col min="2561" max="2561" width="6.28515625" style="347" customWidth="1"/>
    <col min="2562" max="2562" width="44" style="347" customWidth="1"/>
    <col min="2563" max="2563" width="12.85546875" style="347" bestFit="1" customWidth="1"/>
    <col min="2564" max="2564" width="17.42578125" style="347" customWidth="1"/>
    <col min="2565" max="2565" width="15" style="347" customWidth="1"/>
    <col min="2566" max="2566" width="12.85546875" style="347" bestFit="1" customWidth="1"/>
    <col min="2567" max="2567" width="17.28515625" style="347" customWidth="1"/>
    <col min="2568" max="2568" width="14.85546875" style="347" customWidth="1"/>
    <col min="2569" max="2569" width="12.85546875" style="347" bestFit="1" customWidth="1"/>
    <col min="2570" max="2570" width="17.42578125" style="347" customWidth="1"/>
    <col min="2571" max="2571" width="15" style="347" customWidth="1"/>
    <col min="2572" max="2816" width="9.140625" style="347"/>
    <col min="2817" max="2817" width="6.28515625" style="347" customWidth="1"/>
    <col min="2818" max="2818" width="44" style="347" customWidth="1"/>
    <col min="2819" max="2819" width="12.85546875" style="347" bestFit="1" customWidth="1"/>
    <col min="2820" max="2820" width="17.42578125" style="347" customWidth="1"/>
    <col min="2821" max="2821" width="15" style="347" customWidth="1"/>
    <col min="2822" max="2822" width="12.85546875" style="347" bestFit="1" customWidth="1"/>
    <col min="2823" max="2823" width="17.28515625" style="347" customWidth="1"/>
    <col min="2824" max="2824" width="14.85546875" style="347" customWidth="1"/>
    <col min="2825" max="2825" width="12.85546875" style="347" bestFit="1" customWidth="1"/>
    <col min="2826" max="2826" width="17.42578125" style="347" customWidth="1"/>
    <col min="2827" max="2827" width="15" style="347" customWidth="1"/>
    <col min="2828" max="3072" width="9.140625" style="347"/>
    <col min="3073" max="3073" width="6.28515625" style="347" customWidth="1"/>
    <col min="3074" max="3074" width="44" style="347" customWidth="1"/>
    <col min="3075" max="3075" width="12.85546875" style="347" bestFit="1" customWidth="1"/>
    <col min="3076" max="3076" width="17.42578125" style="347" customWidth="1"/>
    <col min="3077" max="3077" width="15" style="347" customWidth="1"/>
    <col min="3078" max="3078" width="12.85546875" style="347" bestFit="1" customWidth="1"/>
    <col min="3079" max="3079" width="17.28515625" style="347" customWidth="1"/>
    <col min="3080" max="3080" width="14.85546875" style="347" customWidth="1"/>
    <col min="3081" max="3081" width="12.85546875" style="347" bestFit="1" customWidth="1"/>
    <col min="3082" max="3082" width="17.42578125" style="347" customWidth="1"/>
    <col min="3083" max="3083" width="15" style="347" customWidth="1"/>
    <col min="3084" max="3328" width="9.140625" style="347"/>
    <col min="3329" max="3329" width="6.28515625" style="347" customWidth="1"/>
    <col min="3330" max="3330" width="44" style="347" customWidth="1"/>
    <col min="3331" max="3331" width="12.85546875" style="347" bestFit="1" customWidth="1"/>
    <col min="3332" max="3332" width="17.42578125" style="347" customWidth="1"/>
    <col min="3333" max="3333" width="15" style="347" customWidth="1"/>
    <col min="3334" max="3334" width="12.85546875" style="347" bestFit="1" customWidth="1"/>
    <col min="3335" max="3335" width="17.28515625" style="347" customWidth="1"/>
    <col min="3336" max="3336" width="14.85546875" style="347" customWidth="1"/>
    <col min="3337" max="3337" width="12.85546875" style="347" bestFit="1" customWidth="1"/>
    <col min="3338" max="3338" width="17.42578125" style="347" customWidth="1"/>
    <col min="3339" max="3339" width="15" style="347" customWidth="1"/>
    <col min="3340" max="3584" width="9.140625" style="347"/>
    <col min="3585" max="3585" width="6.28515625" style="347" customWidth="1"/>
    <col min="3586" max="3586" width="44" style="347" customWidth="1"/>
    <col min="3587" max="3587" width="12.85546875" style="347" bestFit="1" customWidth="1"/>
    <col min="3588" max="3588" width="17.42578125" style="347" customWidth="1"/>
    <col min="3589" max="3589" width="15" style="347" customWidth="1"/>
    <col min="3590" max="3590" width="12.85546875" style="347" bestFit="1" customWidth="1"/>
    <col min="3591" max="3591" width="17.28515625" style="347" customWidth="1"/>
    <col min="3592" max="3592" width="14.85546875" style="347" customWidth="1"/>
    <col min="3593" max="3593" width="12.85546875" style="347" bestFit="1" customWidth="1"/>
    <col min="3594" max="3594" width="17.42578125" style="347" customWidth="1"/>
    <col min="3595" max="3595" width="15" style="347" customWidth="1"/>
    <col min="3596" max="3840" width="9.140625" style="347"/>
    <col min="3841" max="3841" width="6.28515625" style="347" customWidth="1"/>
    <col min="3842" max="3842" width="44" style="347" customWidth="1"/>
    <col min="3843" max="3843" width="12.85546875" style="347" bestFit="1" customWidth="1"/>
    <col min="3844" max="3844" width="17.42578125" style="347" customWidth="1"/>
    <col min="3845" max="3845" width="15" style="347" customWidth="1"/>
    <col min="3846" max="3846" width="12.85546875" style="347" bestFit="1" customWidth="1"/>
    <col min="3847" max="3847" width="17.28515625" style="347" customWidth="1"/>
    <col min="3848" max="3848" width="14.85546875" style="347" customWidth="1"/>
    <col min="3849" max="3849" width="12.85546875" style="347" bestFit="1" customWidth="1"/>
    <col min="3850" max="3850" width="17.42578125" style="347" customWidth="1"/>
    <col min="3851" max="3851" width="15" style="347" customWidth="1"/>
    <col min="3852" max="4096" width="9.140625" style="347"/>
    <col min="4097" max="4097" width="6.28515625" style="347" customWidth="1"/>
    <col min="4098" max="4098" width="44" style="347" customWidth="1"/>
    <col min="4099" max="4099" width="12.85546875" style="347" bestFit="1" customWidth="1"/>
    <col min="4100" max="4100" width="17.42578125" style="347" customWidth="1"/>
    <col min="4101" max="4101" width="15" style="347" customWidth="1"/>
    <col min="4102" max="4102" width="12.85546875" style="347" bestFit="1" customWidth="1"/>
    <col min="4103" max="4103" width="17.28515625" style="347" customWidth="1"/>
    <col min="4104" max="4104" width="14.85546875" style="347" customWidth="1"/>
    <col min="4105" max="4105" width="12.85546875" style="347" bestFit="1" customWidth="1"/>
    <col min="4106" max="4106" width="17.42578125" style="347" customWidth="1"/>
    <col min="4107" max="4107" width="15" style="347" customWidth="1"/>
    <col min="4108" max="4352" width="9.140625" style="347"/>
    <col min="4353" max="4353" width="6.28515625" style="347" customWidth="1"/>
    <col min="4354" max="4354" width="44" style="347" customWidth="1"/>
    <col min="4355" max="4355" width="12.85546875" style="347" bestFit="1" customWidth="1"/>
    <col min="4356" max="4356" width="17.42578125" style="347" customWidth="1"/>
    <col min="4357" max="4357" width="15" style="347" customWidth="1"/>
    <col min="4358" max="4358" width="12.85546875" style="347" bestFit="1" customWidth="1"/>
    <col min="4359" max="4359" width="17.28515625" style="347" customWidth="1"/>
    <col min="4360" max="4360" width="14.85546875" style="347" customWidth="1"/>
    <col min="4361" max="4361" width="12.85546875" style="347" bestFit="1" customWidth="1"/>
    <col min="4362" max="4362" width="17.42578125" style="347" customWidth="1"/>
    <col min="4363" max="4363" width="15" style="347" customWidth="1"/>
    <col min="4364" max="4608" width="9.140625" style="347"/>
    <col min="4609" max="4609" width="6.28515625" style="347" customWidth="1"/>
    <col min="4610" max="4610" width="44" style="347" customWidth="1"/>
    <col min="4611" max="4611" width="12.85546875" style="347" bestFit="1" customWidth="1"/>
    <col min="4612" max="4612" width="17.42578125" style="347" customWidth="1"/>
    <col min="4613" max="4613" width="15" style="347" customWidth="1"/>
    <col min="4614" max="4614" width="12.85546875" style="347" bestFit="1" customWidth="1"/>
    <col min="4615" max="4615" width="17.28515625" style="347" customWidth="1"/>
    <col min="4616" max="4616" width="14.85546875" style="347" customWidth="1"/>
    <col min="4617" max="4617" width="12.85546875" style="347" bestFit="1" customWidth="1"/>
    <col min="4618" max="4618" width="17.42578125" style="347" customWidth="1"/>
    <col min="4619" max="4619" width="15" style="347" customWidth="1"/>
    <col min="4620" max="4864" width="9.140625" style="347"/>
    <col min="4865" max="4865" width="6.28515625" style="347" customWidth="1"/>
    <col min="4866" max="4866" width="44" style="347" customWidth="1"/>
    <col min="4867" max="4867" width="12.85546875" style="347" bestFit="1" customWidth="1"/>
    <col min="4868" max="4868" width="17.42578125" style="347" customWidth="1"/>
    <col min="4869" max="4869" width="15" style="347" customWidth="1"/>
    <col min="4870" max="4870" width="12.85546875" style="347" bestFit="1" customWidth="1"/>
    <col min="4871" max="4871" width="17.28515625" style="347" customWidth="1"/>
    <col min="4872" max="4872" width="14.85546875" style="347" customWidth="1"/>
    <col min="4873" max="4873" width="12.85546875" style="347" bestFit="1" customWidth="1"/>
    <col min="4874" max="4874" width="17.42578125" style="347" customWidth="1"/>
    <col min="4875" max="4875" width="15" style="347" customWidth="1"/>
    <col min="4876" max="5120" width="9.140625" style="347"/>
    <col min="5121" max="5121" width="6.28515625" style="347" customWidth="1"/>
    <col min="5122" max="5122" width="44" style="347" customWidth="1"/>
    <col min="5123" max="5123" width="12.85546875" style="347" bestFit="1" customWidth="1"/>
    <col min="5124" max="5124" width="17.42578125" style="347" customWidth="1"/>
    <col min="5125" max="5125" width="15" style="347" customWidth="1"/>
    <col min="5126" max="5126" width="12.85546875" style="347" bestFit="1" customWidth="1"/>
    <col min="5127" max="5127" width="17.28515625" style="347" customWidth="1"/>
    <col min="5128" max="5128" width="14.85546875" style="347" customWidth="1"/>
    <col min="5129" max="5129" width="12.85546875" style="347" bestFit="1" customWidth="1"/>
    <col min="5130" max="5130" width="17.42578125" style="347" customWidth="1"/>
    <col min="5131" max="5131" width="15" style="347" customWidth="1"/>
    <col min="5132" max="5376" width="9.140625" style="347"/>
    <col min="5377" max="5377" width="6.28515625" style="347" customWidth="1"/>
    <col min="5378" max="5378" width="44" style="347" customWidth="1"/>
    <col min="5379" max="5379" width="12.85546875" style="347" bestFit="1" customWidth="1"/>
    <col min="5380" max="5380" width="17.42578125" style="347" customWidth="1"/>
    <col min="5381" max="5381" width="15" style="347" customWidth="1"/>
    <col min="5382" max="5382" width="12.85546875" style="347" bestFit="1" customWidth="1"/>
    <col min="5383" max="5383" width="17.28515625" style="347" customWidth="1"/>
    <col min="5384" max="5384" width="14.85546875" style="347" customWidth="1"/>
    <col min="5385" max="5385" width="12.85546875" style="347" bestFit="1" customWidth="1"/>
    <col min="5386" max="5386" width="17.42578125" style="347" customWidth="1"/>
    <col min="5387" max="5387" width="15" style="347" customWidth="1"/>
    <col min="5388" max="5632" width="9.140625" style="347"/>
    <col min="5633" max="5633" width="6.28515625" style="347" customWidth="1"/>
    <col min="5634" max="5634" width="44" style="347" customWidth="1"/>
    <col min="5635" max="5635" width="12.85546875" style="347" bestFit="1" customWidth="1"/>
    <col min="5636" max="5636" width="17.42578125" style="347" customWidth="1"/>
    <col min="5637" max="5637" width="15" style="347" customWidth="1"/>
    <col min="5638" max="5638" width="12.85546875" style="347" bestFit="1" customWidth="1"/>
    <col min="5639" max="5639" width="17.28515625" style="347" customWidth="1"/>
    <col min="5640" max="5640" width="14.85546875" style="347" customWidth="1"/>
    <col min="5641" max="5641" width="12.85546875" style="347" bestFit="1" customWidth="1"/>
    <col min="5642" max="5642" width="17.42578125" style="347" customWidth="1"/>
    <col min="5643" max="5643" width="15" style="347" customWidth="1"/>
    <col min="5644" max="5888" width="9.140625" style="347"/>
    <col min="5889" max="5889" width="6.28515625" style="347" customWidth="1"/>
    <col min="5890" max="5890" width="44" style="347" customWidth="1"/>
    <col min="5891" max="5891" width="12.85546875" style="347" bestFit="1" customWidth="1"/>
    <col min="5892" max="5892" width="17.42578125" style="347" customWidth="1"/>
    <col min="5893" max="5893" width="15" style="347" customWidth="1"/>
    <col min="5894" max="5894" width="12.85546875" style="347" bestFit="1" customWidth="1"/>
    <col min="5895" max="5895" width="17.28515625" style="347" customWidth="1"/>
    <col min="5896" max="5896" width="14.85546875" style="347" customWidth="1"/>
    <col min="5897" max="5897" width="12.85546875" style="347" bestFit="1" customWidth="1"/>
    <col min="5898" max="5898" width="17.42578125" style="347" customWidth="1"/>
    <col min="5899" max="5899" width="15" style="347" customWidth="1"/>
    <col min="5900" max="6144" width="9.140625" style="347"/>
    <col min="6145" max="6145" width="6.28515625" style="347" customWidth="1"/>
    <col min="6146" max="6146" width="44" style="347" customWidth="1"/>
    <col min="6147" max="6147" width="12.85546875" style="347" bestFit="1" customWidth="1"/>
    <col min="6148" max="6148" width="17.42578125" style="347" customWidth="1"/>
    <col min="6149" max="6149" width="15" style="347" customWidth="1"/>
    <col min="6150" max="6150" width="12.85546875" style="347" bestFit="1" customWidth="1"/>
    <col min="6151" max="6151" width="17.28515625" style="347" customWidth="1"/>
    <col min="6152" max="6152" width="14.85546875" style="347" customWidth="1"/>
    <col min="6153" max="6153" width="12.85546875" style="347" bestFit="1" customWidth="1"/>
    <col min="6154" max="6154" width="17.42578125" style="347" customWidth="1"/>
    <col min="6155" max="6155" width="15" style="347" customWidth="1"/>
    <col min="6156" max="6400" width="9.140625" style="347"/>
    <col min="6401" max="6401" width="6.28515625" style="347" customWidth="1"/>
    <col min="6402" max="6402" width="44" style="347" customWidth="1"/>
    <col min="6403" max="6403" width="12.85546875" style="347" bestFit="1" customWidth="1"/>
    <col min="6404" max="6404" width="17.42578125" style="347" customWidth="1"/>
    <col min="6405" max="6405" width="15" style="347" customWidth="1"/>
    <col min="6406" max="6406" width="12.85546875" style="347" bestFit="1" customWidth="1"/>
    <col min="6407" max="6407" width="17.28515625" style="347" customWidth="1"/>
    <col min="6408" max="6408" width="14.85546875" style="347" customWidth="1"/>
    <col min="6409" max="6409" width="12.85546875" style="347" bestFit="1" customWidth="1"/>
    <col min="6410" max="6410" width="17.42578125" style="347" customWidth="1"/>
    <col min="6411" max="6411" width="15" style="347" customWidth="1"/>
    <col min="6412" max="6656" width="9.140625" style="347"/>
    <col min="6657" max="6657" width="6.28515625" style="347" customWidth="1"/>
    <col min="6658" max="6658" width="44" style="347" customWidth="1"/>
    <col min="6659" max="6659" width="12.85546875" style="347" bestFit="1" customWidth="1"/>
    <col min="6660" max="6660" width="17.42578125" style="347" customWidth="1"/>
    <col min="6661" max="6661" width="15" style="347" customWidth="1"/>
    <col min="6662" max="6662" width="12.85546875" style="347" bestFit="1" customWidth="1"/>
    <col min="6663" max="6663" width="17.28515625" style="347" customWidth="1"/>
    <col min="6664" max="6664" width="14.85546875" style="347" customWidth="1"/>
    <col min="6665" max="6665" width="12.85546875" style="347" bestFit="1" customWidth="1"/>
    <col min="6666" max="6666" width="17.42578125" style="347" customWidth="1"/>
    <col min="6667" max="6667" width="15" style="347" customWidth="1"/>
    <col min="6668" max="6912" width="9.140625" style="347"/>
    <col min="6913" max="6913" width="6.28515625" style="347" customWidth="1"/>
    <col min="6914" max="6914" width="44" style="347" customWidth="1"/>
    <col min="6915" max="6915" width="12.85546875" style="347" bestFit="1" customWidth="1"/>
    <col min="6916" max="6916" width="17.42578125" style="347" customWidth="1"/>
    <col min="6917" max="6917" width="15" style="347" customWidth="1"/>
    <col min="6918" max="6918" width="12.85546875" style="347" bestFit="1" customWidth="1"/>
    <col min="6919" max="6919" width="17.28515625" style="347" customWidth="1"/>
    <col min="6920" max="6920" width="14.85546875" style="347" customWidth="1"/>
    <col min="6921" max="6921" width="12.85546875" style="347" bestFit="1" customWidth="1"/>
    <col min="6922" max="6922" width="17.42578125" style="347" customWidth="1"/>
    <col min="6923" max="6923" width="15" style="347" customWidth="1"/>
    <col min="6924" max="7168" width="9.140625" style="347"/>
    <col min="7169" max="7169" width="6.28515625" style="347" customWidth="1"/>
    <col min="7170" max="7170" width="44" style="347" customWidth="1"/>
    <col min="7171" max="7171" width="12.85546875" style="347" bestFit="1" customWidth="1"/>
    <col min="7172" max="7172" width="17.42578125" style="347" customWidth="1"/>
    <col min="7173" max="7173" width="15" style="347" customWidth="1"/>
    <col min="7174" max="7174" width="12.85546875" style="347" bestFit="1" customWidth="1"/>
    <col min="7175" max="7175" width="17.28515625" style="347" customWidth="1"/>
    <col min="7176" max="7176" width="14.85546875" style="347" customWidth="1"/>
    <col min="7177" max="7177" width="12.85546875" style="347" bestFit="1" customWidth="1"/>
    <col min="7178" max="7178" width="17.42578125" style="347" customWidth="1"/>
    <col min="7179" max="7179" width="15" style="347" customWidth="1"/>
    <col min="7180" max="7424" width="9.140625" style="347"/>
    <col min="7425" max="7425" width="6.28515625" style="347" customWidth="1"/>
    <col min="7426" max="7426" width="44" style="347" customWidth="1"/>
    <col min="7427" max="7427" width="12.85546875" style="347" bestFit="1" customWidth="1"/>
    <col min="7428" max="7428" width="17.42578125" style="347" customWidth="1"/>
    <col min="7429" max="7429" width="15" style="347" customWidth="1"/>
    <col min="7430" max="7430" width="12.85546875" style="347" bestFit="1" customWidth="1"/>
    <col min="7431" max="7431" width="17.28515625" style="347" customWidth="1"/>
    <col min="7432" max="7432" width="14.85546875" style="347" customWidth="1"/>
    <col min="7433" max="7433" width="12.85546875" style="347" bestFit="1" customWidth="1"/>
    <col min="7434" max="7434" width="17.42578125" style="347" customWidth="1"/>
    <col min="7435" max="7435" width="15" style="347" customWidth="1"/>
    <col min="7436" max="7680" width="9.140625" style="347"/>
    <col min="7681" max="7681" width="6.28515625" style="347" customWidth="1"/>
    <col min="7682" max="7682" width="44" style="347" customWidth="1"/>
    <col min="7683" max="7683" width="12.85546875" style="347" bestFit="1" customWidth="1"/>
    <col min="7684" max="7684" width="17.42578125" style="347" customWidth="1"/>
    <col min="7685" max="7685" width="15" style="347" customWidth="1"/>
    <col min="7686" max="7686" width="12.85546875" style="347" bestFit="1" customWidth="1"/>
    <col min="7687" max="7687" width="17.28515625" style="347" customWidth="1"/>
    <col min="7688" max="7688" width="14.85546875" style="347" customWidth="1"/>
    <col min="7689" max="7689" width="12.85546875" style="347" bestFit="1" customWidth="1"/>
    <col min="7690" max="7690" width="17.42578125" style="347" customWidth="1"/>
    <col min="7691" max="7691" width="15" style="347" customWidth="1"/>
    <col min="7692" max="7936" width="9.140625" style="347"/>
    <col min="7937" max="7937" width="6.28515625" style="347" customWidth="1"/>
    <col min="7938" max="7938" width="44" style="347" customWidth="1"/>
    <col min="7939" max="7939" width="12.85546875" style="347" bestFit="1" customWidth="1"/>
    <col min="7940" max="7940" width="17.42578125" style="347" customWidth="1"/>
    <col min="7941" max="7941" width="15" style="347" customWidth="1"/>
    <col min="7942" max="7942" width="12.85546875" style="347" bestFit="1" customWidth="1"/>
    <col min="7943" max="7943" width="17.28515625" style="347" customWidth="1"/>
    <col min="7944" max="7944" width="14.85546875" style="347" customWidth="1"/>
    <col min="7945" max="7945" width="12.85546875" style="347" bestFit="1" customWidth="1"/>
    <col min="7946" max="7946" width="17.42578125" style="347" customWidth="1"/>
    <col min="7947" max="7947" width="15" style="347" customWidth="1"/>
    <col min="7948" max="8192" width="9.140625" style="347"/>
    <col min="8193" max="8193" width="6.28515625" style="347" customWidth="1"/>
    <col min="8194" max="8194" width="44" style="347" customWidth="1"/>
    <col min="8195" max="8195" width="12.85546875" style="347" bestFit="1" customWidth="1"/>
    <col min="8196" max="8196" width="17.42578125" style="347" customWidth="1"/>
    <col min="8197" max="8197" width="15" style="347" customWidth="1"/>
    <col min="8198" max="8198" width="12.85546875" style="347" bestFit="1" customWidth="1"/>
    <col min="8199" max="8199" width="17.28515625" style="347" customWidth="1"/>
    <col min="8200" max="8200" width="14.85546875" style="347" customWidth="1"/>
    <col min="8201" max="8201" width="12.85546875" style="347" bestFit="1" customWidth="1"/>
    <col min="8202" max="8202" width="17.42578125" style="347" customWidth="1"/>
    <col min="8203" max="8203" width="15" style="347" customWidth="1"/>
    <col min="8204" max="8448" width="9.140625" style="347"/>
    <col min="8449" max="8449" width="6.28515625" style="347" customWidth="1"/>
    <col min="8450" max="8450" width="44" style="347" customWidth="1"/>
    <col min="8451" max="8451" width="12.85546875" style="347" bestFit="1" customWidth="1"/>
    <col min="8452" max="8452" width="17.42578125" style="347" customWidth="1"/>
    <col min="8453" max="8453" width="15" style="347" customWidth="1"/>
    <col min="8454" max="8454" width="12.85546875" style="347" bestFit="1" customWidth="1"/>
    <col min="8455" max="8455" width="17.28515625" style="347" customWidth="1"/>
    <col min="8456" max="8456" width="14.85546875" style="347" customWidth="1"/>
    <col min="8457" max="8457" width="12.85546875" style="347" bestFit="1" customWidth="1"/>
    <col min="8458" max="8458" width="17.42578125" style="347" customWidth="1"/>
    <col min="8459" max="8459" width="15" style="347" customWidth="1"/>
    <col min="8460" max="8704" width="9.140625" style="347"/>
    <col min="8705" max="8705" width="6.28515625" style="347" customWidth="1"/>
    <col min="8706" max="8706" width="44" style="347" customWidth="1"/>
    <col min="8707" max="8707" width="12.85546875" style="347" bestFit="1" customWidth="1"/>
    <col min="8708" max="8708" width="17.42578125" style="347" customWidth="1"/>
    <col min="8709" max="8709" width="15" style="347" customWidth="1"/>
    <col min="8710" max="8710" width="12.85546875" style="347" bestFit="1" customWidth="1"/>
    <col min="8711" max="8711" width="17.28515625" style="347" customWidth="1"/>
    <col min="8712" max="8712" width="14.85546875" style="347" customWidth="1"/>
    <col min="8713" max="8713" width="12.85546875" style="347" bestFit="1" customWidth="1"/>
    <col min="8714" max="8714" width="17.42578125" style="347" customWidth="1"/>
    <col min="8715" max="8715" width="15" style="347" customWidth="1"/>
    <col min="8716" max="8960" width="9.140625" style="347"/>
    <col min="8961" max="8961" width="6.28515625" style="347" customWidth="1"/>
    <col min="8962" max="8962" width="44" style="347" customWidth="1"/>
    <col min="8963" max="8963" width="12.85546875" style="347" bestFit="1" customWidth="1"/>
    <col min="8964" max="8964" width="17.42578125" style="347" customWidth="1"/>
    <col min="8965" max="8965" width="15" style="347" customWidth="1"/>
    <col min="8966" max="8966" width="12.85546875" style="347" bestFit="1" customWidth="1"/>
    <col min="8967" max="8967" width="17.28515625" style="347" customWidth="1"/>
    <col min="8968" max="8968" width="14.85546875" style="347" customWidth="1"/>
    <col min="8969" max="8969" width="12.85546875" style="347" bestFit="1" customWidth="1"/>
    <col min="8970" max="8970" width="17.42578125" style="347" customWidth="1"/>
    <col min="8971" max="8971" width="15" style="347" customWidth="1"/>
    <col min="8972" max="9216" width="9.140625" style="347"/>
    <col min="9217" max="9217" width="6.28515625" style="347" customWidth="1"/>
    <col min="9218" max="9218" width="44" style="347" customWidth="1"/>
    <col min="9219" max="9219" width="12.85546875" style="347" bestFit="1" customWidth="1"/>
    <col min="9220" max="9220" width="17.42578125" style="347" customWidth="1"/>
    <col min="9221" max="9221" width="15" style="347" customWidth="1"/>
    <col min="9222" max="9222" width="12.85546875" style="347" bestFit="1" customWidth="1"/>
    <col min="9223" max="9223" width="17.28515625" style="347" customWidth="1"/>
    <col min="9224" max="9224" width="14.85546875" style="347" customWidth="1"/>
    <col min="9225" max="9225" width="12.85546875" style="347" bestFit="1" customWidth="1"/>
    <col min="9226" max="9226" width="17.42578125" style="347" customWidth="1"/>
    <col min="9227" max="9227" width="15" style="347" customWidth="1"/>
    <col min="9228" max="9472" width="9.140625" style="347"/>
    <col min="9473" max="9473" width="6.28515625" style="347" customWidth="1"/>
    <col min="9474" max="9474" width="44" style="347" customWidth="1"/>
    <col min="9475" max="9475" width="12.85546875" style="347" bestFit="1" customWidth="1"/>
    <col min="9476" max="9476" width="17.42578125" style="347" customWidth="1"/>
    <col min="9477" max="9477" width="15" style="347" customWidth="1"/>
    <col min="9478" max="9478" width="12.85546875" style="347" bestFit="1" customWidth="1"/>
    <col min="9479" max="9479" width="17.28515625" style="347" customWidth="1"/>
    <col min="9480" max="9480" width="14.85546875" style="347" customWidth="1"/>
    <col min="9481" max="9481" width="12.85546875" style="347" bestFit="1" customWidth="1"/>
    <col min="9482" max="9482" width="17.42578125" style="347" customWidth="1"/>
    <col min="9483" max="9483" width="15" style="347" customWidth="1"/>
    <col min="9484" max="9728" width="9.140625" style="347"/>
    <col min="9729" max="9729" width="6.28515625" style="347" customWidth="1"/>
    <col min="9730" max="9730" width="44" style="347" customWidth="1"/>
    <col min="9731" max="9731" width="12.85546875" style="347" bestFit="1" customWidth="1"/>
    <col min="9732" max="9732" width="17.42578125" style="347" customWidth="1"/>
    <col min="9733" max="9733" width="15" style="347" customWidth="1"/>
    <col min="9734" max="9734" width="12.85546875" style="347" bestFit="1" customWidth="1"/>
    <col min="9735" max="9735" width="17.28515625" style="347" customWidth="1"/>
    <col min="9736" max="9736" width="14.85546875" style="347" customWidth="1"/>
    <col min="9737" max="9737" width="12.85546875" style="347" bestFit="1" customWidth="1"/>
    <col min="9738" max="9738" width="17.42578125" style="347" customWidth="1"/>
    <col min="9739" max="9739" width="15" style="347" customWidth="1"/>
    <col min="9740" max="9984" width="9.140625" style="347"/>
    <col min="9985" max="9985" width="6.28515625" style="347" customWidth="1"/>
    <col min="9986" max="9986" width="44" style="347" customWidth="1"/>
    <col min="9987" max="9987" width="12.85546875" style="347" bestFit="1" customWidth="1"/>
    <col min="9988" max="9988" width="17.42578125" style="347" customWidth="1"/>
    <col min="9989" max="9989" width="15" style="347" customWidth="1"/>
    <col min="9990" max="9990" width="12.85546875" style="347" bestFit="1" customWidth="1"/>
    <col min="9991" max="9991" width="17.28515625" style="347" customWidth="1"/>
    <col min="9992" max="9992" width="14.85546875" style="347" customWidth="1"/>
    <col min="9993" max="9993" width="12.85546875" style="347" bestFit="1" customWidth="1"/>
    <col min="9994" max="9994" width="17.42578125" style="347" customWidth="1"/>
    <col min="9995" max="9995" width="15" style="347" customWidth="1"/>
    <col min="9996" max="10240" width="9.140625" style="347"/>
    <col min="10241" max="10241" width="6.28515625" style="347" customWidth="1"/>
    <col min="10242" max="10242" width="44" style="347" customWidth="1"/>
    <col min="10243" max="10243" width="12.85546875" style="347" bestFit="1" customWidth="1"/>
    <col min="10244" max="10244" width="17.42578125" style="347" customWidth="1"/>
    <col min="10245" max="10245" width="15" style="347" customWidth="1"/>
    <col min="10246" max="10246" width="12.85546875" style="347" bestFit="1" customWidth="1"/>
    <col min="10247" max="10247" width="17.28515625" style="347" customWidth="1"/>
    <col min="10248" max="10248" width="14.85546875" style="347" customWidth="1"/>
    <col min="10249" max="10249" width="12.85546875" style="347" bestFit="1" customWidth="1"/>
    <col min="10250" max="10250" width="17.42578125" style="347" customWidth="1"/>
    <col min="10251" max="10251" width="15" style="347" customWidth="1"/>
    <col min="10252" max="10496" width="9.140625" style="347"/>
    <col min="10497" max="10497" width="6.28515625" style="347" customWidth="1"/>
    <col min="10498" max="10498" width="44" style="347" customWidth="1"/>
    <col min="10499" max="10499" width="12.85546875" style="347" bestFit="1" customWidth="1"/>
    <col min="10500" max="10500" width="17.42578125" style="347" customWidth="1"/>
    <col min="10501" max="10501" width="15" style="347" customWidth="1"/>
    <col min="10502" max="10502" width="12.85546875" style="347" bestFit="1" customWidth="1"/>
    <col min="10503" max="10503" width="17.28515625" style="347" customWidth="1"/>
    <col min="10504" max="10504" width="14.85546875" style="347" customWidth="1"/>
    <col min="10505" max="10505" width="12.85546875" style="347" bestFit="1" customWidth="1"/>
    <col min="10506" max="10506" width="17.42578125" style="347" customWidth="1"/>
    <col min="10507" max="10507" width="15" style="347" customWidth="1"/>
    <col min="10508" max="10752" width="9.140625" style="347"/>
    <col min="10753" max="10753" width="6.28515625" style="347" customWidth="1"/>
    <col min="10754" max="10754" width="44" style="347" customWidth="1"/>
    <col min="10755" max="10755" width="12.85546875" style="347" bestFit="1" customWidth="1"/>
    <col min="10756" max="10756" width="17.42578125" style="347" customWidth="1"/>
    <col min="10757" max="10757" width="15" style="347" customWidth="1"/>
    <col min="10758" max="10758" width="12.85546875" style="347" bestFit="1" customWidth="1"/>
    <col min="10759" max="10759" width="17.28515625" style="347" customWidth="1"/>
    <col min="10760" max="10760" width="14.85546875" style="347" customWidth="1"/>
    <col min="10761" max="10761" width="12.85546875" style="347" bestFit="1" customWidth="1"/>
    <col min="10762" max="10762" width="17.42578125" style="347" customWidth="1"/>
    <col min="10763" max="10763" width="15" style="347" customWidth="1"/>
    <col min="10764" max="11008" width="9.140625" style="347"/>
    <col min="11009" max="11009" width="6.28515625" style="347" customWidth="1"/>
    <col min="11010" max="11010" width="44" style="347" customWidth="1"/>
    <col min="11011" max="11011" width="12.85546875" style="347" bestFit="1" customWidth="1"/>
    <col min="11012" max="11012" width="17.42578125" style="347" customWidth="1"/>
    <col min="11013" max="11013" width="15" style="347" customWidth="1"/>
    <col min="11014" max="11014" width="12.85546875" style="347" bestFit="1" customWidth="1"/>
    <col min="11015" max="11015" width="17.28515625" style="347" customWidth="1"/>
    <col min="11016" max="11016" width="14.85546875" style="347" customWidth="1"/>
    <col min="11017" max="11017" width="12.85546875" style="347" bestFit="1" customWidth="1"/>
    <col min="11018" max="11018" width="17.42578125" style="347" customWidth="1"/>
    <col min="11019" max="11019" width="15" style="347" customWidth="1"/>
    <col min="11020" max="11264" width="9.140625" style="347"/>
    <col min="11265" max="11265" width="6.28515625" style="347" customWidth="1"/>
    <col min="11266" max="11266" width="44" style="347" customWidth="1"/>
    <col min="11267" max="11267" width="12.85546875" style="347" bestFit="1" customWidth="1"/>
    <col min="11268" max="11268" width="17.42578125" style="347" customWidth="1"/>
    <col min="11269" max="11269" width="15" style="347" customWidth="1"/>
    <col min="11270" max="11270" width="12.85546875" style="347" bestFit="1" customWidth="1"/>
    <col min="11271" max="11271" width="17.28515625" style="347" customWidth="1"/>
    <col min="11272" max="11272" width="14.85546875" style="347" customWidth="1"/>
    <col min="11273" max="11273" width="12.85546875" style="347" bestFit="1" customWidth="1"/>
    <col min="11274" max="11274" width="17.42578125" style="347" customWidth="1"/>
    <col min="11275" max="11275" width="15" style="347" customWidth="1"/>
    <col min="11276" max="11520" width="9.140625" style="347"/>
    <col min="11521" max="11521" width="6.28515625" style="347" customWidth="1"/>
    <col min="11522" max="11522" width="44" style="347" customWidth="1"/>
    <col min="11523" max="11523" width="12.85546875" style="347" bestFit="1" customWidth="1"/>
    <col min="11524" max="11524" width="17.42578125" style="347" customWidth="1"/>
    <col min="11525" max="11525" width="15" style="347" customWidth="1"/>
    <col min="11526" max="11526" width="12.85546875" style="347" bestFit="1" customWidth="1"/>
    <col min="11527" max="11527" width="17.28515625" style="347" customWidth="1"/>
    <col min="11528" max="11528" width="14.85546875" style="347" customWidth="1"/>
    <col min="11529" max="11529" width="12.85546875" style="347" bestFit="1" customWidth="1"/>
    <col min="11530" max="11530" width="17.42578125" style="347" customWidth="1"/>
    <col min="11531" max="11531" width="15" style="347" customWidth="1"/>
    <col min="11532" max="11776" width="9.140625" style="347"/>
    <col min="11777" max="11777" width="6.28515625" style="347" customWidth="1"/>
    <col min="11778" max="11778" width="44" style="347" customWidth="1"/>
    <col min="11779" max="11779" width="12.85546875" style="347" bestFit="1" customWidth="1"/>
    <col min="11780" max="11780" width="17.42578125" style="347" customWidth="1"/>
    <col min="11781" max="11781" width="15" style="347" customWidth="1"/>
    <col min="11782" max="11782" width="12.85546875" style="347" bestFit="1" customWidth="1"/>
    <col min="11783" max="11783" width="17.28515625" style="347" customWidth="1"/>
    <col min="11784" max="11784" width="14.85546875" style="347" customWidth="1"/>
    <col min="11785" max="11785" width="12.85546875" style="347" bestFit="1" customWidth="1"/>
    <col min="11786" max="11786" width="17.42578125" style="347" customWidth="1"/>
    <col min="11787" max="11787" width="15" style="347" customWidth="1"/>
    <col min="11788" max="12032" width="9.140625" style="347"/>
    <col min="12033" max="12033" width="6.28515625" style="347" customWidth="1"/>
    <col min="12034" max="12034" width="44" style="347" customWidth="1"/>
    <col min="12035" max="12035" width="12.85546875" style="347" bestFit="1" customWidth="1"/>
    <col min="12036" max="12036" width="17.42578125" style="347" customWidth="1"/>
    <col min="12037" max="12037" width="15" style="347" customWidth="1"/>
    <col min="12038" max="12038" width="12.85546875" style="347" bestFit="1" customWidth="1"/>
    <col min="12039" max="12039" width="17.28515625" style="347" customWidth="1"/>
    <col min="12040" max="12040" width="14.85546875" style="347" customWidth="1"/>
    <col min="12041" max="12041" width="12.85546875" style="347" bestFit="1" customWidth="1"/>
    <col min="12042" max="12042" width="17.42578125" style="347" customWidth="1"/>
    <col min="12043" max="12043" width="15" style="347" customWidth="1"/>
    <col min="12044" max="12288" width="9.140625" style="347"/>
    <col min="12289" max="12289" width="6.28515625" style="347" customWidth="1"/>
    <col min="12290" max="12290" width="44" style="347" customWidth="1"/>
    <col min="12291" max="12291" width="12.85546875" style="347" bestFit="1" customWidth="1"/>
    <col min="12292" max="12292" width="17.42578125" style="347" customWidth="1"/>
    <col min="12293" max="12293" width="15" style="347" customWidth="1"/>
    <col min="12294" max="12294" width="12.85546875" style="347" bestFit="1" customWidth="1"/>
    <col min="12295" max="12295" width="17.28515625" style="347" customWidth="1"/>
    <col min="12296" max="12296" width="14.85546875" style="347" customWidth="1"/>
    <col min="12297" max="12297" width="12.85546875" style="347" bestFit="1" customWidth="1"/>
    <col min="12298" max="12298" width="17.42578125" style="347" customWidth="1"/>
    <col min="12299" max="12299" width="15" style="347" customWidth="1"/>
    <col min="12300" max="12544" width="9.140625" style="347"/>
    <col min="12545" max="12545" width="6.28515625" style="347" customWidth="1"/>
    <col min="12546" max="12546" width="44" style="347" customWidth="1"/>
    <col min="12547" max="12547" width="12.85546875" style="347" bestFit="1" customWidth="1"/>
    <col min="12548" max="12548" width="17.42578125" style="347" customWidth="1"/>
    <col min="12549" max="12549" width="15" style="347" customWidth="1"/>
    <col min="12550" max="12550" width="12.85546875" style="347" bestFit="1" customWidth="1"/>
    <col min="12551" max="12551" width="17.28515625" style="347" customWidth="1"/>
    <col min="12552" max="12552" width="14.85546875" style="347" customWidth="1"/>
    <col min="12553" max="12553" width="12.85546875" style="347" bestFit="1" customWidth="1"/>
    <col min="12554" max="12554" width="17.42578125" style="347" customWidth="1"/>
    <col min="12555" max="12555" width="15" style="347" customWidth="1"/>
    <col min="12556" max="12800" width="9.140625" style="347"/>
    <col min="12801" max="12801" width="6.28515625" style="347" customWidth="1"/>
    <col min="12802" max="12802" width="44" style="347" customWidth="1"/>
    <col min="12803" max="12803" width="12.85546875" style="347" bestFit="1" customWidth="1"/>
    <col min="12804" max="12804" width="17.42578125" style="347" customWidth="1"/>
    <col min="12805" max="12805" width="15" style="347" customWidth="1"/>
    <col min="12806" max="12806" width="12.85546875" style="347" bestFit="1" customWidth="1"/>
    <col min="12807" max="12807" width="17.28515625" style="347" customWidth="1"/>
    <col min="12808" max="12808" width="14.85546875" style="347" customWidth="1"/>
    <col min="12809" max="12809" width="12.85546875" style="347" bestFit="1" customWidth="1"/>
    <col min="12810" max="12810" width="17.42578125" style="347" customWidth="1"/>
    <col min="12811" max="12811" width="15" style="347" customWidth="1"/>
    <col min="12812" max="13056" width="9.140625" style="347"/>
    <col min="13057" max="13057" width="6.28515625" style="347" customWidth="1"/>
    <col min="13058" max="13058" width="44" style="347" customWidth="1"/>
    <col min="13059" max="13059" width="12.85546875" style="347" bestFit="1" customWidth="1"/>
    <col min="13060" max="13060" width="17.42578125" style="347" customWidth="1"/>
    <col min="13061" max="13061" width="15" style="347" customWidth="1"/>
    <col min="13062" max="13062" width="12.85546875" style="347" bestFit="1" customWidth="1"/>
    <col min="13063" max="13063" width="17.28515625" style="347" customWidth="1"/>
    <col min="13064" max="13064" width="14.85546875" style="347" customWidth="1"/>
    <col min="13065" max="13065" width="12.85546875" style="347" bestFit="1" customWidth="1"/>
    <col min="13066" max="13066" width="17.42578125" style="347" customWidth="1"/>
    <col min="13067" max="13067" width="15" style="347" customWidth="1"/>
    <col min="13068" max="13312" width="9.140625" style="347"/>
    <col min="13313" max="13313" width="6.28515625" style="347" customWidth="1"/>
    <col min="13314" max="13314" width="44" style="347" customWidth="1"/>
    <col min="13315" max="13315" width="12.85546875" style="347" bestFit="1" customWidth="1"/>
    <col min="13316" max="13316" width="17.42578125" style="347" customWidth="1"/>
    <col min="13317" max="13317" width="15" style="347" customWidth="1"/>
    <col min="13318" max="13318" width="12.85546875" style="347" bestFit="1" customWidth="1"/>
    <col min="13319" max="13319" width="17.28515625" style="347" customWidth="1"/>
    <col min="13320" max="13320" width="14.85546875" style="347" customWidth="1"/>
    <col min="13321" max="13321" width="12.85546875" style="347" bestFit="1" customWidth="1"/>
    <col min="13322" max="13322" width="17.42578125" style="347" customWidth="1"/>
    <col min="13323" max="13323" width="15" style="347" customWidth="1"/>
    <col min="13324" max="13568" width="9.140625" style="347"/>
    <col min="13569" max="13569" width="6.28515625" style="347" customWidth="1"/>
    <col min="13570" max="13570" width="44" style="347" customWidth="1"/>
    <col min="13571" max="13571" width="12.85546875" style="347" bestFit="1" customWidth="1"/>
    <col min="13572" max="13572" width="17.42578125" style="347" customWidth="1"/>
    <col min="13573" max="13573" width="15" style="347" customWidth="1"/>
    <col min="13574" max="13574" width="12.85546875" style="347" bestFit="1" customWidth="1"/>
    <col min="13575" max="13575" width="17.28515625" style="347" customWidth="1"/>
    <col min="13576" max="13576" width="14.85546875" style="347" customWidth="1"/>
    <col min="13577" max="13577" width="12.85546875" style="347" bestFit="1" customWidth="1"/>
    <col min="13578" max="13578" width="17.42578125" style="347" customWidth="1"/>
    <col min="13579" max="13579" width="15" style="347" customWidth="1"/>
    <col min="13580" max="13824" width="9.140625" style="347"/>
    <col min="13825" max="13825" width="6.28515625" style="347" customWidth="1"/>
    <col min="13826" max="13826" width="44" style="347" customWidth="1"/>
    <col min="13827" max="13827" width="12.85546875" style="347" bestFit="1" customWidth="1"/>
    <col min="13828" max="13828" width="17.42578125" style="347" customWidth="1"/>
    <col min="13829" max="13829" width="15" style="347" customWidth="1"/>
    <col min="13830" max="13830" width="12.85546875" style="347" bestFit="1" customWidth="1"/>
    <col min="13831" max="13831" width="17.28515625" style="347" customWidth="1"/>
    <col min="13832" max="13832" width="14.85546875" style="347" customWidth="1"/>
    <col min="13833" max="13833" width="12.85546875" style="347" bestFit="1" customWidth="1"/>
    <col min="13834" max="13834" width="17.42578125" style="347" customWidth="1"/>
    <col min="13835" max="13835" width="15" style="347" customWidth="1"/>
    <col min="13836" max="14080" width="9.140625" style="347"/>
    <col min="14081" max="14081" width="6.28515625" style="347" customWidth="1"/>
    <col min="14082" max="14082" width="44" style="347" customWidth="1"/>
    <col min="14083" max="14083" width="12.85546875" style="347" bestFit="1" customWidth="1"/>
    <col min="14084" max="14084" width="17.42578125" style="347" customWidth="1"/>
    <col min="14085" max="14085" width="15" style="347" customWidth="1"/>
    <col min="14086" max="14086" width="12.85546875" style="347" bestFit="1" customWidth="1"/>
    <col min="14087" max="14087" width="17.28515625" style="347" customWidth="1"/>
    <col min="14088" max="14088" width="14.85546875" style="347" customWidth="1"/>
    <col min="14089" max="14089" width="12.85546875" style="347" bestFit="1" customWidth="1"/>
    <col min="14090" max="14090" width="17.42578125" style="347" customWidth="1"/>
    <col min="14091" max="14091" width="15" style="347" customWidth="1"/>
    <col min="14092" max="14336" width="9.140625" style="347"/>
    <col min="14337" max="14337" width="6.28515625" style="347" customWidth="1"/>
    <col min="14338" max="14338" width="44" style="347" customWidth="1"/>
    <col min="14339" max="14339" width="12.85546875" style="347" bestFit="1" customWidth="1"/>
    <col min="14340" max="14340" width="17.42578125" style="347" customWidth="1"/>
    <col min="14341" max="14341" width="15" style="347" customWidth="1"/>
    <col min="14342" max="14342" width="12.85546875" style="347" bestFit="1" customWidth="1"/>
    <col min="14343" max="14343" width="17.28515625" style="347" customWidth="1"/>
    <col min="14344" max="14344" width="14.85546875" style="347" customWidth="1"/>
    <col min="14345" max="14345" width="12.85546875" style="347" bestFit="1" customWidth="1"/>
    <col min="14346" max="14346" width="17.42578125" style="347" customWidth="1"/>
    <col min="14347" max="14347" width="15" style="347" customWidth="1"/>
    <col min="14348" max="14592" width="9.140625" style="347"/>
    <col min="14593" max="14593" width="6.28515625" style="347" customWidth="1"/>
    <col min="14594" max="14594" width="44" style="347" customWidth="1"/>
    <col min="14595" max="14595" width="12.85546875" style="347" bestFit="1" customWidth="1"/>
    <col min="14596" max="14596" width="17.42578125" style="347" customWidth="1"/>
    <col min="14597" max="14597" width="15" style="347" customWidth="1"/>
    <col min="14598" max="14598" width="12.85546875" style="347" bestFit="1" customWidth="1"/>
    <col min="14599" max="14599" width="17.28515625" style="347" customWidth="1"/>
    <col min="14600" max="14600" width="14.85546875" style="347" customWidth="1"/>
    <col min="14601" max="14601" width="12.85546875" style="347" bestFit="1" customWidth="1"/>
    <col min="14602" max="14602" width="17.42578125" style="347" customWidth="1"/>
    <col min="14603" max="14603" width="15" style="347" customWidth="1"/>
    <col min="14604" max="14848" width="9.140625" style="347"/>
    <col min="14849" max="14849" width="6.28515625" style="347" customWidth="1"/>
    <col min="14850" max="14850" width="44" style="347" customWidth="1"/>
    <col min="14851" max="14851" width="12.85546875" style="347" bestFit="1" customWidth="1"/>
    <col min="14852" max="14852" width="17.42578125" style="347" customWidth="1"/>
    <col min="14853" max="14853" width="15" style="347" customWidth="1"/>
    <col min="14854" max="14854" width="12.85546875" style="347" bestFit="1" customWidth="1"/>
    <col min="14855" max="14855" width="17.28515625" style="347" customWidth="1"/>
    <col min="14856" max="14856" width="14.85546875" style="347" customWidth="1"/>
    <col min="14857" max="14857" width="12.85546875" style="347" bestFit="1" customWidth="1"/>
    <col min="14858" max="14858" width="17.42578125" style="347" customWidth="1"/>
    <col min="14859" max="14859" width="15" style="347" customWidth="1"/>
    <col min="14860" max="15104" width="9.140625" style="347"/>
    <col min="15105" max="15105" width="6.28515625" style="347" customWidth="1"/>
    <col min="15106" max="15106" width="44" style="347" customWidth="1"/>
    <col min="15107" max="15107" width="12.85546875" style="347" bestFit="1" customWidth="1"/>
    <col min="15108" max="15108" width="17.42578125" style="347" customWidth="1"/>
    <col min="15109" max="15109" width="15" style="347" customWidth="1"/>
    <col min="15110" max="15110" width="12.85546875" style="347" bestFit="1" customWidth="1"/>
    <col min="15111" max="15111" width="17.28515625" style="347" customWidth="1"/>
    <col min="15112" max="15112" width="14.85546875" style="347" customWidth="1"/>
    <col min="15113" max="15113" width="12.85546875" style="347" bestFit="1" customWidth="1"/>
    <col min="15114" max="15114" width="17.42578125" style="347" customWidth="1"/>
    <col min="15115" max="15115" width="15" style="347" customWidth="1"/>
    <col min="15116" max="15360" width="9.140625" style="347"/>
    <col min="15361" max="15361" width="6.28515625" style="347" customWidth="1"/>
    <col min="15362" max="15362" width="44" style="347" customWidth="1"/>
    <col min="15363" max="15363" width="12.85546875" style="347" bestFit="1" customWidth="1"/>
    <col min="15364" max="15364" width="17.42578125" style="347" customWidth="1"/>
    <col min="15365" max="15365" width="15" style="347" customWidth="1"/>
    <col min="15366" max="15366" width="12.85546875" style="347" bestFit="1" customWidth="1"/>
    <col min="15367" max="15367" width="17.28515625" style="347" customWidth="1"/>
    <col min="15368" max="15368" width="14.85546875" style="347" customWidth="1"/>
    <col min="15369" max="15369" width="12.85546875" style="347" bestFit="1" customWidth="1"/>
    <col min="15370" max="15370" width="17.42578125" style="347" customWidth="1"/>
    <col min="15371" max="15371" width="15" style="347" customWidth="1"/>
    <col min="15372" max="15616" width="9.140625" style="347"/>
    <col min="15617" max="15617" width="6.28515625" style="347" customWidth="1"/>
    <col min="15618" max="15618" width="44" style="347" customWidth="1"/>
    <col min="15619" max="15619" width="12.85546875" style="347" bestFit="1" customWidth="1"/>
    <col min="15620" max="15620" width="17.42578125" style="347" customWidth="1"/>
    <col min="15621" max="15621" width="15" style="347" customWidth="1"/>
    <col min="15622" max="15622" width="12.85546875" style="347" bestFit="1" customWidth="1"/>
    <col min="15623" max="15623" width="17.28515625" style="347" customWidth="1"/>
    <col min="15624" max="15624" width="14.85546875" style="347" customWidth="1"/>
    <col min="15625" max="15625" width="12.85546875" style="347" bestFit="1" customWidth="1"/>
    <col min="15626" max="15626" width="17.42578125" style="347" customWidth="1"/>
    <col min="15627" max="15627" width="15" style="347" customWidth="1"/>
    <col min="15628" max="15872" width="9.140625" style="347"/>
    <col min="15873" max="15873" width="6.28515625" style="347" customWidth="1"/>
    <col min="15874" max="15874" width="44" style="347" customWidth="1"/>
    <col min="15875" max="15875" width="12.85546875" style="347" bestFit="1" customWidth="1"/>
    <col min="15876" max="15876" width="17.42578125" style="347" customWidth="1"/>
    <col min="15877" max="15877" width="15" style="347" customWidth="1"/>
    <col min="15878" max="15878" width="12.85546875" style="347" bestFit="1" customWidth="1"/>
    <col min="15879" max="15879" width="17.28515625" style="347" customWidth="1"/>
    <col min="15880" max="15880" width="14.85546875" style="347" customWidth="1"/>
    <col min="15881" max="15881" width="12.85546875" style="347" bestFit="1" customWidth="1"/>
    <col min="15882" max="15882" width="17.42578125" style="347" customWidth="1"/>
    <col min="15883" max="15883" width="15" style="347" customWidth="1"/>
    <col min="15884" max="16128" width="9.140625" style="347"/>
    <col min="16129" max="16129" width="6.28515625" style="347" customWidth="1"/>
    <col min="16130" max="16130" width="44" style="347" customWidth="1"/>
    <col min="16131" max="16131" width="12.85546875" style="347" bestFit="1" customWidth="1"/>
    <col min="16132" max="16132" width="17.42578125" style="347" customWidth="1"/>
    <col min="16133" max="16133" width="15" style="347" customWidth="1"/>
    <col min="16134" max="16134" width="12.85546875" style="347" bestFit="1" customWidth="1"/>
    <col min="16135" max="16135" width="17.28515625" style="347" customWidth="1"/>
    <col min="16136" max="16136" width="14.85546875" style="347" customWidth="1"/>
    <col min="16137" max="16137" width="12.85546875" style="347" bestFit="1" customWidth="1"/>
    <col min="16138" max="16138" width="17.42578125" style="347" customWidth="1"/>
    <col min="16139" max="16139" width="15" style="347" customWidth="1"/>
    <col min="16140" max="16384" width="9.140625" style="347"/>
  </cols>
  <sheetData>
    <row r="1" spans="1:143" ht="21" customHeight="1" x14ac:dyDescent="0.3">
      <c r="A1" s="565" t="s">
        <v>340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43" ht="93" customHeight="1" x14ac:dyDescent="0.3">
      <c r="A2" s="567" t="s">
        <v>394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43" ht="15.75" customHeight="1" x14ac:dyDescent="0.3">
      <c r="A3" s="568" t="s">
        <v>365</v>
      </c>
      <c r="B3" s="570" t="s">
        <v>52</v>
      </c>
      <c r="C3" s="573" t="s">
        <v>3</v>
      </c>
      <c r="D3" s="574"/>
      <c r="E3" s="575"/>
      <c r="F3" s="579" t="s">
        <v>4</v>
      </c>
      <c r="G3" s="580"/>
      <c r="H3" s="580"/>
      <c r="I3" s="580"/>
      <c r="J3" s="580"/>
      <c r="K3" s="581"/>
    </row>
    <row r="4" spans="1:143" ht="15.75" customHeight="1" x14ac:dyDescent="0.3">
      <c r="A4" s="569"/>
      <c r="B4" s="571"/>
      <c r="C4" s="576"/>
      <c r="D4" s="577"/>
      <c r="E4" s="578"/>
      <c r="F4" s="582" t="s">
        <v>5</v>
      </c>
      <c r="G4" s="583"/>
      <c r="H4" s="584"/>
      <c r="I4" s="585" t="s">
        <v>6</v>
      </c>
      <c r="J4" s="586"/>
      <c r="K4" s="587"/>
    </row>
    <row r="5" spans="1:143" ht="15.75" customHeight="1" x14ac:dyDescent="0.3">
      <c r="A5" s="569"/>
      <c r="B5" s="571"/>
      <c r="C5" s="571" t="s">
        <v>395</v>
      </c>
      <c r="D5" s="576" t="s">
        <v>396</v>
      </c>
      <c r="E5" s="578"/>
      <c r="F5" s="570" t="s">
        <v>395</v>
      </c>
      <c r="G5" s="582" t="s">
        <v>396</v>
      </c>
      <c r="H5" s="584"/>
      <c r="I5" s="570" t="s">
        <v>395</v>
      </c>
      <c r="J5" s="582" t="s">
        <v>396</v>
      </c>
      <c r="K5" s="584"/>
    </row>
    <row r="6" spans="1:143" ht="15.75" customHeight="1" x14ac:dyDescent="0.3">
      <c r="A6" s="569"/>
      <c r="B6" s="571"/>
      <c r="C6" s="571"/>
      <c r="D6" s="570" t="s">
        <v>397</v>
      </c>
      <c r="E6" s="570" t="s">
        <v>398</v>
      </c>
      <c r="F6" s="571"/>
      <c r="G6" s="570" t="s">
        <v>397</v>
      </c>
      <c r="H6" s="570" t="s">
        <v>399</v>
      </c>
      <c r="I6" s="571"/>
      <c r="J6" s="570" t="s">
        <v>397</v>
      </c>
      <c r="K6" s="570" t="s">
        <v>399</v>
      </c>
    </row>
    <row r="7" spans="1:143" ht="93.75" customHeight="1" x14ac:dyDescent="0.3">
      <c r="A7" s="569"/>
      <c r="B7" s="572"/>
      <c r="C7" s="572"/>
      <c r="D7" s="572"/>
      <c r="E7" s="572"/>
      <c r="F7" s="572"/>
      <c r="G7" s="572"/>
      <c r="H7" s="572"/>
      <c r="I7" s="572"/>
      <c r="J7" s="572"/>
      <c r="K7" s="572"/>
    </row>
    <row r="8" spans="1:143" s="350" customFormat="1" ht="15.75" customHeight="1" x14ac:dyDescent="0.25">
      <c r="A8" s="348">
        <v>1</v>
      </c>
      <c r="B8" s="349">
        <v>2</v>
      </c>
      <c r="C8" s="349">
        <v>3</v>
      </c>
      <c r="D8" s="349">
        <v>4</v>
      </c>
      <c r="E8" s="349">
        <v>5</v>
      </c>
      <c r="F8" s="348">
        <v>6</v>
      </c>
      <c r="G8" s="348">
        <v>7</v>
      </c>
      <c r="H8" s="348">
        <v>8</v>
      </c>
      <c r="I8" s="348">
        <v>9</v>
      </c>
      <c r="J8" s="348">
        <v>10</v>
      </c>
      <c r="K8" s="348">
        <v>11</v>
      </c>
    </row>
    <row r="9" spans="1:143" s="355" customFormat="1" x14ac:dyDescent="0.3">
      <c r="A9" s="351">
        <v>1</v>
      </c>
      <c r="B9" s="352" t="s">
        <v>7</v>
      </c>
      <c r="C9" s="353">
        <f>D9+E9</f>
        <v>978.8</v>
      </c>
      <c r="D9" s="354"/>
      <c r="E9" s="354">
        <v>978.8</v>
      </c>
      <c r="F9" s="354">
        <f>G9+H9</f>
        <v>6512.9</v>
      </c>
      <c r="G9" s="354">
        <v>6512.9</v>
      </c>
      <c r="H9" s="354"/>
      <c r="I9" s="354">
        <f>J9+K9</f>
        <v>4341.8999999999996</v>
      </c>
      <c r="J9" s="354">
        <v>4341.8999999999996</v>
      </c>
      <c r="K9" s="354"/>
    </row>
    <row r="10" spans="1:143" s="355" customFormat="1" x14ac:dyDescent="0.3">
      <c r="A10" s="351">
        <v>2</v>
      </c>
      <c r="B10" s="352" t="s">
        <v>8</v>
      </c>
      <c r="C10" s="353">
        <f t="shared" ref="C10:C50" si="0">D10+E10</f>
        <v>8808.9</v>
      </c>
      <c r="D10" s="354">
        <v>4893.8</v>
      </c>
      <c r="E10" s="354">
        <v>3915.1</v>
      </c>
      <c r="F10" s="354">
        <f t="shared" ref="F10:F50" si="1">G10+H10</f>
        <v>5427.5</v>
      </c>
      <c r="G10" s="354">
        <v>3256.5</v>
      </c>
      <c r="H10" s="354">
        <v>2171</v>
      </c>
      <c r="I10" s="354">
        <f t="shared" ref="I10:I50" si="2">J10+K10</f>
        <v>3256.5</v>
      </c>
      <c r="J10" s="354">
        <v>3256.5</v>
      </c>
      <c r="K10" s="354"/>
    </row>
    <row r="11" spans="1:143" s="355" customFormat="1" x14ac:dyDescent="0.3">
      <c r="A11" s="351">
        <v>3</v>
      </c>
      <c r="B11" s="352" t="s">
        <v>9</v>
      </c>
      <c r="C11" s="353">
        <f t="shared" si="0"/>
        <v>46141.599999999999</v>
      </c>
      <c r="D11" s="354"/>
      <c r="E11" s="354">
        <v>46141.599999999999</v>
      </c>
      <c r="F11" s="354">
        <f t="shared" si="1"/>
        <v>24201.599999999999</v>
      </c>
      <c r="G11" s="354"/>
      <c r="H11" s="354">
        <v>24201.599999999999</v>
      </c>
      <c r="I11" s="354">
        <f>J11+K11</f>
        <v>17888.2</v>
      </c>
      <c r="J11" s="354"/>
      <c r="K11" s="354">
        <v>17888.2</v>
      </c>
    </row>
    <row r="12" spans="1:143" s="214" customFormat="1" x14ac:dyDescent="0.3">
      <c r="A12" s="351">
        <v>4</v>
      </c>
      <c r="B12" s="352" t="s">
        <v>10</v>
      </c>
      <c r="C12" s="353">
        <f t="shared" si="0"/>
        <v>4893.8999999999996</v>
      </c>
      <c r="D12" s="354">
        <v>2936.3</v>
      </c>
      <c r="E12" s="354">
        <v>1957.6</v>
      </c>
      <c r="F12" s="354">
        <f t="shared" si="1"/>
        <v>4297.6000000000004</v>
      </c>
      <c r="G12" s="354">
        <v>2148.8000000000002</v>
      </c>
      <c r="H12" s="354">
        <v>2148.8000000000002</v>
      </c>
      <c r="I12" s="354">
        <f t="shared" si="2"/>
        <v>2148.8000000000002</v>
      </c>
      <c r="J12" s="354">
        <v>2148.8000000000002</v>
      </c>
      <c r="K12" s="354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</row>
    <row r="13" spans="1:143" s="214" customFormat="1" x14ac:dyDescent="0.3">
      <c r="A13" s="351">
        <v>5</v>
      </c>
      <c r="B13" s="352" t="s">
        <v>11</v>
      </c>
      <c r="C13" s="353">
        <f>D13+E13</f>
        <v>9787.7000000000007</v>
      </c>
      <c r="D13" s="354">
        <v>5872.6</v>
      </c>
      <c r="E13" s="354">
        <v>3915.1</v>
      </c>
      <c r="F13" s="354">
        <f>G13+H13</f>
        <v>8866.7000000000007</v>
      </c>
      <c r="G13" s="354">
        <v>5541.7</v>
      </c>
      <c r="H13" s="354">
        <v>3325</v>
      </c>
      <c r="I13" s="354">
        <f>J13+K13</f>
        <v>3325</v>
      </c>
      <c r="J13" s="354">
        <v>3325</v>
      </c>
      <c r="K13" s="354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</row>
    <row r="14" spans="1:143" s="214" customFormat="1" x14ac:dyDescent="0.3">
      <c r="A14" s="351">
        <v>6</v>
      </c>
      <c r="B14" s="352" t="s">
        <v>12</v>
      </c>
      <c r="C14" s="353">
        <f>D14+E14</f>
        <v>4794.8</v>
      </c>
      <c r="D14" s="354"/>
      <c r="E14" s="354">
        <v>4794.8</v>
      </c>
      <c r="F14" s="354">
        <f>G14+H14</f>
        <v>3392.9</v>
      </c>
      <c r="G14" s="354">
        <v>2261.9</v>
      </c>
      <c r="H14" s="354">
        <v>1131</v>
      </c>
      <c r="I14" s="354">
        <f>J14+K14</f>
        <v>4523.8</v>
      </c>
      <c r="J14" s="354">
        <v>2261.9</v>
      </c>
      <c r="K14" s="354">
        <v>2261.9</v>
      </c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</row>
    <row r="15" spans="1:143" s="214" customFormat="1" x14ac:dyDescent="0.3">
      <c r="A15" s="351">
        <v>7</v>
      </c>
      <c r="B15" s="352" t="s">
        <v>13</v>
      </c>
      <c r="C15" s="353">
        <f>D15+E15</f>
        <v>1677.9</v>
      </c>
      <c r="D15" s="354"/>
      <c r="E15" s="354">
        <v>1677.9</v>
      </c>
      <c r="F15" s="354">
        <f>G15+H15</f>
        <v>4614.2999999999993</v>
      </c>
      <c r="G15" s="354">
        <v>3460.7</v>
      </c>
      <c r="H15" s="354">
        <v>1153.5999999999999</v>
      </c>
      <c r="I15" s="354">
        <f>J15+K15</f>
        <v>5767.9</v>
      </c>
      <c r="J15" s="354">
        <v>3460.7</v>
      </c>
      <c r="K15" s="354">
        <v>2307.1999999999998</v>
      </c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</row>
    <row r="16" spans="1:143" s="214" customFormat="1" x14ac:dyDescent="0.3">
      <c r="A16" s="351">
        <v>8</v>
      </c>
      <c r="B16" s="352" t="s">
        <v>14</v>
      </c>
      <c r="C16" s="353">
        <f>D16+E16</f>
        <v>3915.1000000000004</v>
      </c>
      <c r="D16" s="354">
        <v>2936.3</v>
      </c>
      <c r="E16" s="354">
        <v>978.8</v>
      </c>
      <c r="F16" s="354">
        <f>G16+H16</f>
        <v>2261.9</v>
      </c>
      <c r="G16" s="354"/>
      <c r="H16" s="354">
        <v>2261.9</v>
      </c>
      <c r="I16" s="354">
        <f>J16+K16</f>
        <v>2261.9</v>
      </c>
      <c r="J16" s="354"/>
      <c r="K16" s="354">
        <v>2261.9</v>
      </c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</row>
    <row r="17" spans="1:157" s="214" customFormat="1" x14ac:dyDescent="0.3">
      <c r="A17" s="351">
        <v>9</v>
      </c>
      <c r="B17" s="352" t="s">
        <v>15</v>
      </c>
      <c r="C17" s="353">
        <f>D17+E17</f>
        <v>9787.7000000000007</v>
      </c>
      <c r="D17" s="354">
        <v>6851.4</v>
      </c>
      <c r="E17" s="354">
        <v>2936.3</v>
      </c>
      <c r="F17" s="354">
        <f>G17+H17</f>
        <v>2261.9</v>
      </c>
      <c r="G17" s="354">
        <v>2261.9</v>
      </c>
      <c r="H17" s="354"/>
      <c r="I17" s="354">
        <f>J17+K17</f>
        <v>3392.9</v>
      </c>
      <c r="J17" s="354">
        <v>2261.9</v>
      </c>
      <c r="K17" s="354">
        <v>1131</v>
      </c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</row>
    <row r="18" spans="1:157" s="214" customFormat="1" x14ac:dyDescent="0.3">
      <c r="A18" s="351">
        <v>10</v>
      </c>
      <c r="B18" s="352" t="s">
        <v>16</v>
      </c>
      <c r="C18" s="353">
        <f t="shared" si="0"/>
        <v>1398.3</v>
      </c>
      <c r="D18" s="354"/>
      <c r="E18" s="354">
        <v>1398.3</v>
      </c>
      <c r="F18" s="354">
        <f t="shared" si="1"/>
        <v>2938.2</v>
      </c>
      <c r="G18" s="354">
        <v>2938.2</v>
      </c>
      <c r="H18" s="354"/>
      <c r="I18" s="354">
        <f t="shared" si="2"/>
        <v>7345.3</v>
      </c>
      <c r="J18" s="354">
        <v>7345.3</v>
      </c>
      <c r="K18" s="354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</row>
    <row r="19" spans="1:157" s="214" customFormat="1" x14ac:dyDescent="0.3">
      <c r="A19" s="351">
        <v>11</v>
      </c>
      <c r="B19" s="352" t="s">
        <v>17</v>
      </c>
      <c r="C19" s="353">
        <f t="shared" si="0"/>
        <v>1118.5999999999999</v>
      </c>
      <c r="D19" s="354"/>
      <c r="E19" s="354">
        <v>1118.5999999999999</v>
      </c>
      <c r="F19" s="354">
        <f t="shared" si="1"/>
        <v>4323.3</v>
      </c>
      <c r="G19" s="354"/>
      <c r="H19" s="354">
        <v>4323.3</v>
      </c>
      <c r="I19" s="354">
        <f t="shared" si="2"/>
        <v>4323.2999999999993</v>
      </c>
      <c r="J19" s="354">
        <v>1441.1</v>
      </c>
      <c r="K19" s="354">
        <v>2882.2</v>
      </c>
      <c r="L19" s="355"/>
      <c r="M19" s="355"/>
      <c r="N19" s="355"/>
      <c r="O19" s="355"/>
      <c r="P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  <c r="DN19" s="355"/>
      <c r="DO19" s="355"/>
      <c r="DP19" s="355"/>
      <c r="DQ19" s="355"/>
      <c r="DR19" s="355"/>
      <c r="DS19" s="355"/>
      <c r="DT19" s="355"/>
      <c r="DU19" s="355"/>
      <c r="DV19" s="355"/>
      <c r="DW19" s="355"/>
      <c r="DX19" s="355"/>
      <c r="DY19" s="355"/>
      <c r="DZ19" s="355"/>
      <c r="EA19" s="355"/>
      <c r="EB19" s="355"/>
      <c r="EC19" s="355"/>
      <c r="ED19" s="355"/>
      <c r="EE19" s="355"/>
      <c r="EF19" s="355"/>
      <c r="EG19" s="355"/>
      <c r="EH19" s="355"/>
      <c r="EI19" s="355"/>
      <c r="EJ19" s="355"/>
      <c r="EK19" s="355"/>
      <c r="EL19" s="355"/>
      <c r="EM19" s="355"/>
      <c r="EN19" s="355"/>
      <c r="EO19" s="355"/>
      <c r="EP19" s="355"/>
      <c r="EQ19" s="355"/>
      <c r="ER19" s="355"/>
      <c r="ES19" s="355"/>
      <c r="ET19" s="355"/>
      <c r="EU19" s="355"/>
      <c r="EV19" s="355"/>
      <c r="EW19" s="355"/>
      <c r="EX19" s="355"/>
      <c r="EY19" s="355"/>
      <c r="EZ19" s="355"/>
      <c r="FA19" s="355"/>
    </row>
    <row r="20" spans="1:157" s="355" customFormat="1" x14ac:dyDescent="0.3">
      <c r="A20" s="351">
        <v>12</v>
      </c>
      <c r="B20" s="352" t="s">
        <v>18</v>
      </c>
      <c r="C20" s="353">
        <f t="shared" si="0"/>
        <v>7550.5</v>
      </c>
      <c r="D20" s="354">
        <v>3355.8</v>
      </c>
      <c r="E20" s="354">
        <v>4194.7</v>
      </c>
      <c r="F20" s="354">
        <f t="shared" si="1"/>
        <v>6124.7</v>
      </c>
      <c r="G20" s="354">
        <v>4899.7</v>
      </c>
      <c r="H20" s="354">
        <v>1225</v>
      </c>
      <c r="I20" s="354">
        <f t="shared" si="2"/>
        <v>3674.8</v>
      </c>
      <c r="J20" s="354">
        <v>3674.8</v>
      </c>
      <c r="K20" s="354"/>
    </row>
    <row r="21" spans="1:157" s="355" customFormat="1" x14ac:dyDescent="0.3">
      <c r="A21" s="351">
        <v>13</v>
      </c>
      <c r="B21" s="352" t="s">
        <v>19</v>
      </c>
      <c r="C21" s="353">
        <f t="shared" si="0"/>
        <v>0</v>
      </c>
      <c r="D21" s="354"/>
      <c r="E21" s="354"/>
      <c r="F21" s="354">
        <f t="shared" si="1"/>
        <v>0</v>
      </c>
      <c r="G21" s="354"/>
      <c r="H21" s="354"/>
      <c r="I21" s="354">
        <f t="shared" si="2"/>
        <v>0</v>
      </c>
      <c r="J21" s="354"/>
      <c r="K21" s="354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</row>
    <row r="22" spans="1:157" s="355" customFormat="1" x14ac:dyDescent="0.3">
      <c r="A22" s="351">
        <v>14</v>
      </c>
      <c r="B22" s="352" t="s">
        <v>20</v>
      </c>
      <c r="C22" s="353">
        <f t="shared" si="0"/>
        <v>0</v>
      </c>
      <c r="D22" s="354"/>
      <c r="E22" s="354"/>
      <c r="F22" s="354">
        <f t="shared" si="1"/>
        <v>2497.4</v>
      </c>
      <c r="G22" s="354"/>
      <c r="H22" s="354">
        <v>2497.4</v>
      </c>
      <c r="I22" s="354">
        <f t="shared" si="2"/>
        <v>2497.4</v>
      </c>
      <c r="J22" s="354"/>
      <c r="K22" s="354">
        <v>2497.4</v>
      </c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</row>
    <row r="23" spans="1:157" s="355" customFormat="1" x14ac:dyDescent="0.3">
      <c r="A23" s="351">
        <v>15</v>
      </c>
      <c r="B23" s="352" t="s">
        <v>21</v>
      </c>
      <c r="C23" s="353">
        <f t="shared" si="0"/>
        <v>559.29999999999995</v>
      </c>
      <c r="D23" s="354"/>
      <c r="E23" s="354">
        <v>559.29999999999995</v>
      </c>
      <c r="F23" s="354">
        <f t="shared" si="1"/>
        <v>2378.6</v>
      </c>
      <c r="G23" s="354">
        <v>1189.3</v>
      </c>
      <c r="H23" s="354">
        <v>1189.3</v>
      </c>
      <c r="I23" s="354">
        <f t="shared" si="2"/>
        <v>1189.3</v>
      </c>
      <c r="J23" s="354"/>
      <c r="K23" s="354">
        <v>1189.3</v>
      </c>
    </row>
    <row r="24" spans="1:157" s="355" customFormat="1" x14ac:dyDescent="0.3">
      <c r="A24" s="351">
        <v>16</v>
      </c>
      <c r="B24" s="352" t="s">
        <v>22</v>
      </c>
      <c r="C24" s="353">
        <f t="shared" si="0"/>
        <v>0</v>
      </c>
      <c r="D24" s="354"/>
      <c r="E24" s="354"/>
      <c r="F24" s="354">
        <f t="shared" si="1"/>
        <v>1248.7</v>
      </c>
      <c r="G24" s="354"/>
      <c r="H24" s="354">
        <v>1248.7</v>
      </c>
      <c r="I24" s="354">
        <f t="shared" si="2"/>
        <v>1248.7</v>
      </c>
      <c r="J24" s="354"/>
      <c r="K24" s="354">
        <v>1248.7</v>
      </c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</row>
    <row r="25" spans="1:157" s="355" customFormat="1" x14ac:dyDescent="0.3">
      <c r="A25" s="351">
        <v>17</v>
      </c>
      <c r="B25" s="352" t="s">
        <v>23</v>
      </c>
      <c r="C25" s="353">
        <f t="shared" si="0"/>
        <v>559.29999999999995</v>
      </c>
      <c r="D25" s="354">
        <v>559.29999999999995</v>
      </c>
      <c r="E25" s="354"/>
      <c r="F25" s="354">
        <f t="shared" si="1"/>
        <v>1261</v>
      </c>
      <c r="G25" s="354"/>
      <c r="H25" s="354">
        <v>1261</v>
      </c>
      <c r="I25" s="354">
        <f t="shared" si="2"/>
        <v>1261</v>
      </c>
      <c r="J25" s="354">
        <v>1261</v>
      </c>
      <c r="K25" s="354"/>
    </row>
    <row r="26" spans="1:157" s="355" customFormat="1" x14ac:dyDescent="0.3">
      <c r="A26" s="351">
        <v>18</v>
      </c>
      <c r="B26" s="352" t="s">
        <v>24</v>
      </c>
      <c r="C26" s="353">
        <f t="shared" si="0"/>
        <v>839</v>
      </c>
      <c r="D26" s="354"/>
      <c r="E26" s="354">
        <v>839</v>
      </c>
      <c r="F26" s="354">
        <f t="shared" si="1"/>
        <v>3567.8</v>
      </c>
      <c r="G26" s="354">
        <v>2378.5</v>
      </c>
      <c r="H26" s="354">
        <v>1189.3</v>
      </c>
      <c r="I26" s="354">
        <f t="shared" si="2"/>
        <v>0</v>
      </c>
      <c r="J26" s="354"/>
      <c r="K26" s="354"/>
    </row>
    <row r="27" spans="1:157" s="355" customFormat="1" x14ac:dyDescent="0.3">
      <c r="A27" s="351">
        <v>19</v>
      </c>
      <c r="B27" s="352" t="s">
        <v>25</v>
      </c>
      <c r="C27" s="353">
        <f t="shared" si="0"/>
        <v>10619.9</v>
      </c>
      <c r="D27" s="354"/>
      <c r="E27" s="354">
        <v>10619.9</v>
      </c>
      <c r="F27" s="354">
        <f t="shared" si="1"/>
        <v>3359.3</v>
      </c>
      <c r="G27" s="354"/>
      <c r="H27" s="354">
        <v>3359.3</v>
      </c>
      <c r="I27" s="354">
        <f t="shared" si="2"/>
        <v>4479</v>
      </c>
      <c r="J27" s="354">
        <v>2239.5</v>
      </c>
      <c r="K27" s="354">
        <v>2239.5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7"/>
      <c r="EF27" s="357"/>
      <c r="EG27" s="357"/>
      <c r="EH27" s="357"/>
      <c r="EI27" s="357"/>
      <c r="EJ27" s="357"/>
      <c r="EK27" s="357"/>
      <c r="EL27" s="357"/>
      <c r="EM27" s="357"/>
    </row>
    <row r="28" spans="1:157" s="355" customFormat="1" x14ac:dyDescent="0.3">
      <c r="A28" s="351">
        <v>20</v>
      </c>
      <c r="B28" s="352" t="s">
        <v>26</v>
      </c>
      <c r="C28" s="353">
        <f t="shared" si="0"/>
        <v>0</v>
      </c>
      <c r="D28" s="354"/>
      <c r="E28" s="354"/>
      <c r="F28" s="354">
        <f t="shared" si="1"/>
        <v>2521.9</v>
      </c>
      <c r="G28" s="354"/>
      <c r="H28" s="354">
        <v>2521.9</v>
      </c>
      <c r="I28" s="354">
        <f t="shared" si="2"/>
        <v>2521.9</v>
      </c>
      <c r="J28" s="354"/>
      <c r="K28" s="354">
        <v>2521.9</v>
      </c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</row>
    <row r="29" spans="1:157" s="355" customFormat="1" x14ac:dyDescent="0.3">
      <c r="A29" s="351">
        <v>21</v>
      </c>
      <c r="B29" s="352" t="s">
        <v>27</v>
      </c>
      <c r="C29" s="353">
        <f t="shared" si="0"/>
        <v>5033.7000000000007</v>
      </c>
      <c r="D29" s="354">
        <v>3355.8</v>
      </c>
      <c r="E29" s="354">
        <v>1677.9</v>
      </c>
      <c r="F29" s="354">
        <f t="shared" si="1"/>
        <v>4570.6000000000004</v>
      </c>
      <c r="G29" s="354">
        <v>1142.7</v>
      </c>
      <c r="H29" s="354">
        <v>3427.9</v>
      </c>
      <c r="I29" s="354">
        <f t="shared" si="2"/>
        <v>4570.6000000000004</v>
      </c>
      <c r="J29" s="354">
        <v>2285.3000000000002</v>
      </c>
      <c r="K29" s="354">
        <v>2285.3000000000002</v>
      </c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</row>
    <row r="30" spans="1:157" s="355" customFormat="1" x14ac:dyDescent="0.3">
      <c r="A30" s="351">
        <v>22</v>
      </c>
      <c r="B30" s="352" t="s">
        <v>28</v>
      </c>
      <c r="C30" s="353">
        <f t="shared" si="0"/>
        <v>0</v>
      </c>
      <c r="D30" s="354"/>
      <c r="E30" s="354"/>
      <c r="F30" s="354">
        <f t="shared" si="1"/>
        <v>1285.5</v>
      </c>
      <c r="G30" s="354"/>
      <c r="H30" s="354">
        <v>1285.5</v>
      </c>
      <c r="I30" s="354">
        <f t="shared" si="2"/>
        <v>1285.5</v>
      </c>
      <c r="J30" s="354"/>
      <c r="K30" s="354">
        <v>1285.5</v>
      </c>
    </row>
    <row r="31" spans="1:157" s="214" customFormat="1" x14ac:dyDescent="0.3">
      <c r="A31" s="351">
        <v>23</v>
      </c>
      <c r="B31" s="352" t="s">
        <v>29</v>
      </c>
      <c r="C31" s="353">
        <f t="shared" si="0"/>
        <v>3915.1000000000004</v>
      </c>
      <c r="D31" s="354">
        <v>2936.3</v>
      </c>
      <c r="E31" s="354">
        <v>978.8</v>
      </c>
      <c r="F31" s="354">
        <f t="shared" si="1"/>
        <v>8158.3</v>
      </c>
      <c r="G31" s="354">
        <v>5827.3</v>
      </c>
      <c r="H31" s="354">
        <v>2331</v>
      </c>
      <c r="I31" s="354">
        <f t="shared" si="2"/>
        <v>4662</v>
      </c>
      <c r="J31" s="354">
        <v>2331</v>
      </c>
      <c r="K31" s="354">
        <v>2331</v>
      </c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5"/>
      <c r="DG31" s="355"/>
      <c r="DH31" s="355"/>
      <c r="DI31" s="355"/>
      <c r="DJ31" s="355"/>
      <c r="DK31" s="355"/>
      <c r="DL31" s="355"/>
      <c r="DM31" s="355"/>
      <c r="DN31" s="355"/>
      <c r="DO31" s="355"/>
      <c r="DP31" s="355"/>
      <c r="DQ31" s="355"/>
      <c r="DR31" s="355"/>
      <c r="DS31" s="355"/>
      <c r="DT31" s="355"/>
      <c r="DU31" s="355"/>
      <c r="DV31" s="355"/>
      <c r="DW31" s="355"/>
      <c r="DX31" s="355"/>
      <c r="DY31" s="355"/>
      <c r="DZ31" s="355"/>
      <c r="EA31" s="355"/>
      <c r="EB31" s="355"/>
      <c r="EC31" s="355"/>
      <c r="ED31" s="355"/>
      <c r="EE31" s="355"/>
      <c r="EF31" s="355"/>
      <c r="EG31" s="355"/>
      <c r="EH31" s="355"/>
      <c r="EI31" s="355"/>
      <c r="EJ31" s="355"/>
      <c r="EK31" s="355"/>
      <c r="EL31" s="355"/>
      <c r="EM31" s="355"/>
      <c r="EN31" s="355"/>
      <c r="EO31" s="355"/>
      <c r="EP31" s="355"/>
      <c r="EQ31" s="355"/>
      <c r="ER31" s="355"/>
      <c r="ES31" s="355"/>
      <c r="ET31" s="355"/>
      <c r="EU31" s="355"/>
      <c r="EV31" s="355"/>
      <c r="EW31" s="355"/>
      <c r="EX31" s="355"/>
      <c r="EY31" s="355"/>
      <c r="EZ31" s="355"/>
      <c r="FA31" s="355"/>
    </row>
    <row r="32" spans="1:157" s="214" customFormat="1" x14ac:dyDescent="0.3">
      <c r="A32" s="351">
        <v>24</v>
      </c>
      <c r="B32" s="352" t="s">
        <v>30</v>
      </c>
      <c r="C32" s="353">
        <f t="shared" si="0"/>
        <v>18596.599999999999</v>
      </c>
      <c r="D32" s="354">
        <v>11745.2</v>
      </c>
      <c r="E32" s="354">
        <v>6851.4</v>
      </c>
      <c r="F32" s="354">
        <f t="shared" si="1"/>
        <v>3256.5</v>
      </c>
      <c r="G32" s="354">
        <v>3256.5</v>
      </c>
      <c r="H32" s="354"/>
      <c r="I32" s="354">
        <f t="shared" si="2"/>
        <v>3256.5</v>
      </c>
      <c r="J32" s="354">
        <v>3256.5</v>
      </c>
      <c r="K32" s="354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5"/>
      <c r="DQ32" s="355"/>
      <c r="DR32" s="355"/>
      <c r="DS32" s="355"/>
      <c r="DT32" s="355"/>
      <c r="DU32" s="355"/>
      <c r="DV32" s="355"/>
      <c r="DW32" s="355"/>
      <c r="DX32" s="355"/>
      <c r="DY32" s="355"/>
      <c r="DZ32" s="355"/>
      <c r="EA32" s="355"/>
      <c r="EB32" s="355"/>
      <c r="EC32" s="355"/>
      <c r="ED32" s="355"/>
      <c r="EE32" s="355"/>
      <c r="EF32" s="355"/>
      <c r="EG32" s="355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5"/>
      <c r="ES32" s="355"/>
      <c r="ET32" s="355"/>
      <c r="EU32" s="355"/>
      <c r="EV32" s="355"/>
      <c r="EW32" s="355"/>
      <c r="EX32" s="355"/>
      <c r="EY32" s="355"/>
      <c r="EZ32" s="355"/>
      <c r="FA32" s="355"/>
    </row>
    <row r="33" spans="1:157" s="214" customFormat="1" x14ac:dyDescent="0.3">
      <c r="A33" s="351">
        <v>25</v>
      </c>
      <c r="B33" s="352" t="s">
        <v>31</v>
      </c>
      <c r="C33" s="353">
        <f t="shared" si="0"/>
        <v>2936.3999999999996</v>
      </c>
      <c r="D33" s="354">
        <v>1957.6</v>
      </c>
      <c r="E33" s="354">
        <v>978.8</v>
      </c>
      <c r="F33" s="354">
        <f t="shared" si="1"/>
        <v>5946.3</v>
      </c>
      <c r="G33" s="354">
        <v>3567.8</v>
      </c>
      <c r="H33" s="354">
        <v>2378.5</v>
      </c>
      <c r="I33" s="354">
        <f t="shared" si="2"/>
        <v>3567.8</v>
      </c>
      <c r="J33" s="354">
        <v>2378.5</v>
      </c>
      <c r="K33" s="354">
        <v>1189.3</v>
      </c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5"/>
      <c r="DM33" s="355"/>
      <c r="DN33" s="355"/>
      <c r="DO33" s="355"/>
      <c r="DP33" s="355"/>
      <c r="DQ33" s="355"/>
      <c r="DR33" s="355"/>
      <c r="DS33" s="355"/>
      <c r="DT33" s="355"/>
      <c r="DU33" s="355"/>
      <c r="DV33" s="355"/>
      <c r="DW33" s="355"/>
      <c r="DX33" s="355"/>
      <c r="DY33" s="355"/>
      <c r="DZ33" s="355"/>
      <c r="EA33" s="355"/>
      <c r="EB33" s="355"/>
      <c r="EC33" s="355"/>
      <c r="ED33" s="355"/>
      <c r="EE33" s="355"/>
      <c r="EF33" s="355"/>
      <c r="EG33" s="355"/>
      <c r="EH33" s="355"/>
      <c r="EI33" s="355"/>
      <c r="EJ33" s="355"/>
      <c r="EK33" s="355"/>
      <c r="EL33" s="355"/>
      <c r="EM33" s="355"/>
      <c r="EN33" s="355"/>
      <c r="EO33" s="355"/>
      <c r="EP33" s="355"/>
      <c r="EQ33" s="355"/>
      <c r="ER33" s="355"/>
      <c r="ES33" s="355"/>
      <c r="ET33" s="355"/>
      <c r="EU33" s="355"/>
      <c r="EV33" s="355"/>
      <c r="EW33" s="355"/>
      <c r="EX33" s="355"/>
      <c r="EY33" s="355"/>
      <c r="EZ33" s="355"/>
      <c r="FA33" s="355"/>
    </row>
    <row r="34" spans="1:157" s="355" customFormat="1" x14ac:dyDescent="0.3">
      <c r="A34" s="351">
        <v>26</v>
      </c>
      <c r="B34" s="352" t="s">
        <v>32</v>
      </c>
      <c r="C34" s="353">
        <f t="shared" si="0"/>
        <v>0</v>
      </c>
      <c r="D34" s="354"/>
      <c r="E34" s="354"/>
      <c r="F34" s="354">
        <f t="shared" si="1"/>
        <v>1224.3</v>
      </c>
      <c r="G34" s="354"/>
      <c r="H34" s="354">
        <v>1224.3</v>
      </c>
      <c r="I34" s="354">
        <f t="shared" si="2"/>
        <v>2448.5</v>
      </c>
      <c r="J34" s="354"/>
      <c r="K34" s="354">
        <v>2448.5</v>
      </c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</row>
    <row r="35" spans="1:157" s="358" customFormat="1" x14ac:dyDescent="0.3">
      <c r="A35" s="351">
        <v>27</v>
      </c>
      <c r="B35" s="352" t="s">
        <v>33</v>
      </c>
      <c r="C35" s="353">
        <f t="shared" si="0"/>
        <v>0</v>
      </c>
      <c r="D35" s="354"/>
      <c r="E35" s="354"/>
      <c r="F35" s="354">
        <f t="shared" si="1"/>
        <v>1165.5</v>
      </c>
      <c r="G35" s="354"/>
      <c r="H35" s="354">
        <v>1165.5</v>
      </c>
      <c r="I35" s="354">
        <f t="shared" si="2"/>
        <v>1165.5</v>
      </c>
      <c r="J35" s="354"/>
      <c r="K35" s="354">
        <v>1165.5</v>
      </c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5"/>
      <c r="DO35" s="355"/>
      <c r="DP35" s="355"/>
      <c r="DQ35" s="355"/>
      <c r="DR35" s="355"/>
      <c r="DS35" s="355"/>
      <c r="DT35" s="355"/>
      <c r="DU35" s="355"/>
      <c r="DV35" s="355"/>
      <c r="DW35" s="355"/>
      <c r="DX35" s="355"/>
      <c r="DY35" s="355"/>
      <c r="DZ35" s="355"/>
      <c r="EA35" s="355"/>
      <c r="EB35" s="355"/>
      <c r="EC35" s="355"/>
      <c r="ED35" s="355"/>
      <c r="EE35" s="355"/>
      <c r="EF35" s="355"/>
      <c r="EG35" s="355"/>
      <c r="EH35" s="355"/>
      <c r="EI35" s="355"/>
      <c r="EJ35" s="355"/>
      <c r="EK35" s="355"/>
      <c r="EL35" s="355"/>
      <c r="EM35" s="355"/>
      <c r="EN35" s="355"/>
      <c r="EO35" s="355"/>
      <c r="EP35" s="355"/>
      <c r="EQ35" s="355"/>
      <c r="ER35" s="355"/>
      <c r="ES35" s="355"/>
      <c r="ET35" s="355"/>
      <c r="EU35" s="355"/>
      <c r="EV35" s="355"/>
      <c r="EW35" s="355"/>
      <c r="EX35" s="355"/>
      <c r="EY35" s="355"/>
      <c r="EZ35" s="355"/>
      <c r="FA35" s="355"/>
    </row>
    <row r="36" spans="1:157" s="358" customFormat="1" x14ac:dyDescent="0.3">
      <c r="A36" s="351">
        <v>28</v>
      </c>
      <c r="B36" s="352" t="s">
        <v>34</v>
      </c>
      <c r="C36" s="353">
        <f t="shared" si="0"/>
        <v>11325.8</v>
      </c>
      <c r="D36" s="354">
        <v>6292.1</v>
      </c>
      <c r="E36" s="354">
        <v>5033.7</v>
      </c>
      <c r="F36" s="354">
        <f t="shared" si="1"/>
        <v>5541.7</v>
      </c>
      <c r="G36" s="354">
        <v>3325</v>
      </c>
      <c r="H36" s="354">
        <v>2216.6999999999998</v>
      </c>
      <c r="I36" s="354">
        <f t="shared" si="2"/>
        <v>4433.3999999999996</v>
      </c>
      <c r="J36" s="354">
        <v>3325</v>
      </c>
      <c r="K36" s="354">
        <v>1108.4000000000001</v>
      </c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5"/>
      <c r="DE36" s="355"/>
      <c r="DF36" s="355"/>
      <c r="DG36" s="355"/>
      <c r="DH36" s="355"/>
      <c r="DI36" s="355"/>
      <c r="DJ36" s="355"/>
      <c r="DK36" s="355"/>
      <c r="DL36" s="355"/>
      <c r="DM36" s="355"/>
      <c r="DN36" s="355"/>
      <c r="DO36" s="355"/>
      <c r="DP36" s="355"/>
      <c r="DQ36" s="355"/>
      <c r="DR36" s="355"/>
      <c r="DS36" s="355"/>
      <c r="DT36" s="355"/>
      <c r="DU36" s="355"/>
      <c r="DV36" s="355"/>
      <c r="DW36" s="355"/>
      <c r="DX36" s="355"/>
      <c r="DY36" s="355"/>
      <c r="DZ36" s="355"/>
      <c r="EA36" s="355"/>
      <c r="EB36" s="355"/>
      <c r="EC36" s="355"/>
      <c r="ED36" s="355"/>
      <c r="EE36" s="355"/>
      <c r="EF36" s="355"/>
      <c r="EG36" s="355"/>
      <c r="EH36" s="355"/>
      <c r="EI36" s="355"/>
      <c r="EJ36" s="355"/>
      <c r="EK36" s="355"/>
      <c r="EL36" s="355"/>
      <c r="EM36" s="355"/>
      <c r="EN36" s="355"/>
      <c r="EO36" s="355"/>
      <c r="EP36" s="355"/>
      <c r="EQ36" s="355"/>
      <c r="ER36" s="355"/>
      <c r="ES36" s="355"/>
      <c r="ET36" s="355"/>
      <c r="EU36" s="355"/>
      <c r="EV36" s="355"/>
      <c r="EW36" s="355"/>
      <c r="EX36" s="355"/>
      <c r="EY36" s="355"/>
      <c r="EZ36" s="355"/>
      <c r="FA36" s="355"/>
    </row>
    <row r="37" spans="1:157" s="355" customFormat="1" x14ac:dyDescent="0.3">
      <c r="A37" s="351">
        <v>29</v>
      </c>
      <c r="B37" s="352" t="s">
        <v>35</v>
      </c>
      <c r="C37" s="353">
        <f t="shared" si="0"/>
        <v>3705.8</v>
      </c>
      <c r="D37" s="354"/>
      <c r="E37" s="354">
        <v>3705.8</v>
      </c>
      <c r="F37" s="354">
        <f t="shared" si="1"/>
        <v>3496.5</v>
      </c>
      <c r="G37" s="354">
        <v>2331</v>
      </c>
      <c r="H37" s="354">
        <v>1165.5</v>
      </c>
      <c r="I37" s="354">
        <f t="shared" si="2"/>
        <v>3496.5</v>
      </c>
      <c r="J37" s="354">
        <v>2331</v>
      </c>
      <c r="K37" s="354">
        <v>1165.5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</row>
    <row r="38" spans="1:157" s="355" customFormat="1" x14ac:dyDescent="0.3">
      <c r="A38" s="351">
        <v>30</v>
      </c>
      <c r="B38" s="352" t="s">
        <v>36</v>
      </c>
      <c r="C38" s="353">
        <f t="shared" si="0"/>
        <v>6711.6</v>
      </c>
      <c r="D38" s="354">
        <v>5033.7</v>
      </c>
      <c r="E38" s="354">
        <v>1677.9</v>
      </c>
      <c r="F38" s="354">
        <f t="shared" si="1"/>
        <v>3392.9</v>
      </c>
      <c r="G38" s="354">
        <v>2261.9</v>
      </c>
      <c r="H38" s="354">
        <v>1131</v>
      </c>
      <c r="I38" s="354">
        <f t="shared" si="2"/>
        <v>4523.8</v>
      </c>
      <c r="J38" s="354">
        <v>2261.9</v>
      </c>
      <c r="K38" s="354">
        <v>2261.9</v>
      </c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</row>
    <row r="39" spans="1:157" s="355" customFormat="1" x14ac:dyDescent="0.3">
      <c r="A39" s="351">
        <v>31</v>
      </c>
      <c r="B39" s="352" t="s">
        <v>37</v>
      </c>
      <c r="C39" s="353">
        <f t="shared" si="0"/>
        <v>3915.1000000000004</v>
      </c>
      <c r="D39" s="354">
        <v>3355.8</v>
      </c>
      <c r="E39" s="354">
        <v>559.29999999999995</v>
      </c>
      <c r="F39" s="354">
        <f t="shared" si="1"/>
        <v>3496.4</v>
      </c>
      <c r="G39" s="354"/>
      <c r="H39" s="354">
        <v>3496.4</v>
      </c>
      <c r="I39" s="354">
        <f t="shared" si="2"/>
        <v>3496.5</v>
      </c>
      <c r="J39" s="354">
        <v>2331</v>
      </c>
      <c r="K39" s="354">
        <v>1165.5</v>
      </c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</row>
    <row r="40" spans="1:157" s="355" customFormat="1" x14ac:dyDescent="0.3">
      <c r="A40" s="351">
        <v>32</v>
      </c>
      <c r="B40" s="352" t="s">
        <v>38</v>
      </c>
      <c r="C40" s="353">
        <f t="shared" si="0"/>
        <v>0</v>
      </c>
      <c r="D40" s="354"/>
      <c r="E40" s="354"/>
      <c r="F40" s="354">
        <f t="shared" si="1"/>
        <v>3746.2</v>
      </c>
      <c r="G40" s="354"/>
      <c r="H40" s="354">
        <v>3746.2</v>
      </c>
      <c r="I40" s="354">
        <f t="shared" si="2"/>
        <v>3746.1000000000004</v>
      </c>
      <c r="J40" s="354">
        <v>2497.4</v>
      </c>
      <c r="K40" s="354">
        <v>1248.7</v>
      </c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</row>
    <row r="41" spans="1:157" s="355" customFormat="1" x14ac:dyDescent="0.3">
      <c r="A41" s="351">
        <v>33</v>
      </c>
      <c r="B41" s="352" t="s">
        <v>39</v>
      </c>
      <c r="C41" s="353">
        <f t="shared" si="0"/>
        <v>0</v>
      </c>
      <c r="D41" s="354"/>
      <c r="E41" s="354"/>
      <c r="F41" s="354">
        <f t="shared" si="1"/>
        <v>1153.5999999999999</v>
      </c>
      <c r="G41" s="354"/>
      <c r="H41" s="354">
        <v>1153.5999999999999</v>
      </c>
      <c r="I41" s="354">
        <f t="shared" si="2"/>
        <v>1153.5999999999999</v>
      </c>
      <c r="J41" s="354"/>
      <c r="K41" s="354">
        <v>1153.5999999999999</v>
      </c>
    </row>
    <row r="42" spans="1:157" s="355" customFormat="1" x14ac:dyDescent="0.3">
      <c r="A42" s="351">
        <v>34</v>
      </c>
      <c r="B42" s="352" t="s">
        <v>40</v>
      </c>
      <c r="C42" s="353">
        <f t="shared" si="0"/>
        <v>5826.4</v>
      </c>
      <c r="D42" s="354">
        <v>2516.9</v>
      </c>
      <c r="E42" s="354">
        <v>3309.5</v>
      </c>
      <c r="F42" s="354">
        <f t="shared" si="1"/>
        <v>3496.4</v>
      </c>
      <c r="G42" s="354">
        <v>3496.4</v>
      </c>
      <c r="H42" s="354"/>
      <c r="I42" s="354">
        <f t="shared" si="2"/>
        <v>3496.4</v>
      </c>
      <c r="J42" s="354">
        <v>3496.4</v>
      </c>
      <c r="K42" s="354"/>
    </row>
    <row r="43" spans="1:157" s="355" customFormat="1" x14ac:dyDescent="0.3">
      <c r="A43" s="351">
        <v>35</v>
      </c>
      <c r="B43" s="352" t="s">
        <v>41</v>
      </c>
      <c r="C43" s="353">
        <f t="shared" si="0"/>
        <v>0</v>
      </c>
      <c r="D43" s="354"/>
      <c r="E43" s="354"/>
      <c r="F43" s="354">
        <f t="shared" si="1"/>
        <v>2448.5</v>
      </c>
      <c r="G43" s="354"/>
      <c r="H43" s="354">
        <v>2448.5</v>
      </c>
      <c r="I43" s="354">
        <f t="shared" si="2"/>
        <v>2448.5</v>
      </c>
      <c r="J43" s="354"/>
      <c r="K43" s="354">
        <v>2448.5</v>
      </c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</row>
    <row r="44" spans="1:157" s="355" customFormat="1" x14ac:dyDescent="0.3">
      <c r="A44" s="351">
        <v>36</v>
      </c>
      <c r="B44" s="352" t="s">
        <v>42</v>
      </c>
      <c r="C44" s="353">
        <f t="shared" si="0"/>
        <v>0</v>
      </c>
      <c r="D44" s="354"/>
      <c r="E44" s="354"/>
      <c r="F44" s="354">
        <f t="shared" si="1"/>
        <v>0</v>
      </c>
      <c r="G44" s="354"/>
      <c r="H44" s="354"/>
      <c r="I44" s="354">
        <f t="shared" si="2"/>
        <v>0</v>
      </c>
      <c r="J44" s="354"/>
      <c r="K44" s="354"/>
    </row>
    <row r="45" spans="1:157" s="355" customFormat="1" x14ac:dyDescent="0.3">
      <c r="A45" s="351">
        <v>37</v>
      </c>
      <c r="B45" s="352" t="s">
        <v>43</v>
      </c>
      <c r="C45" s="353">
        <f t="shared" si="0"/>
        <v>5872.7000000000007</v>
      </c>
      <c r="D45" s="354">
        <v>3355.8</v>
      </c>
      <c r="E45" s="354">
        <v>2516.9</v>
      </c>
      <c r="F45" s="354">
        <f t="shared" si="1"/>
        <v>4523.8</v>
      </c>
      <c r="G45" s="354">
        <v>4523.8</v>
      </c>
      <c r="H45" s="354"/>
      <c r="I45" s="354">
        <f t="shared" si="2"/>
        <v>4523.8</v>
      </c>
      <c r="J45" s="354">
        <v>4523.8</v>
      </c>
      <c r="K45" s="354"/>
    </row>
    <row r="46" spans="1:157" s="355" customFormat="1" x14ac:dyDescent="0.3">
      <c r="A46" s="351">
        <v>38</v>
      </c>
      <c r="B46" s="352" t="s">
        <v>44</v>
      </c>
      <c r="C46" s="353">
        <f t="shared" si="0"/>
        <v>5033.7000000000007</v>
      </c>
      <c r="D46" s="354">
        <v>3355.8</v>
      </c>
      <c r="E46" s="354">
        <v>1677.9</v>
      </c>
      <c r="F46" s="354">
        <f t="shared" si="1"/>
        <v>6785.7000000000007</v>
      </c>
      <c r="G46" s="354">
        <v>4523.8</v>
      </c>
      <c r="H46" s="354">
        <v>2261.9</v>
      </c>
      <c r="I46" s="354">
        <f t="shared" si="2"/>
        <v>4523.8999999999996</v>
      </c>
      <c r="J46" s="354">
        <v>3392.9</v>
      </c>
      <c r="K46" s="354">
        <v>1131</v>
      </c>
    </row>
    <row r="47" spans="1:157" s="355" customFormat="1" x14ac:dyDescent="0.3">
      <c r="A47" s="351">
        <v>39</v>
      </c>
      <c r="B47" s="352" t="s">
        <v>45</v>
      </c>
      <c r="C47" s="353">
        <f t="shared" si="0"/>
        <v>4194.7</v>
      </c>
      <c r="D47" s="354"/>
      <c r="E47" s="354">
        <v>4194.7</v>
      </c>
      <c r="F47" s="354">
        <f t="shared" si="1"/>
        <v>2497.4</v>
      </c>
      <c r="G47" s="354"/>
      <c r="H47" s="354">
        <v>2497.4</v>
      </c>
      <c r="I47" s="354">
        <f t="shared" si="2"/>
        <v>2497.4</v>
      </c>
      <c r="J47" s="354"/>
      <c r="K47" s="354">
        <v>2497.4</v>
      </c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</row>
    <row r="48" spans="1:157" s="355" customFormat="1" x14ac:dyDescent="0.3">
      <c r="A48" s="351">
        <v>40</v>
      </c>
      <c r="B48" s="352" t="s">
        <v>46</v>
      </c>
      <c r="C48" s="353">
        <f t="shared" si="0"/>
        <v>0</v>
      </c>
      <c r="D48" s="354"/>
      <c r="E48" s="354"/>
      <c r="F48" s="354">
        <f t="shared" si="1"/>
        <v>0</v>
      </c>
      <c r="G48" s="354"/>
      <c r="H48" s="354"/>
      <c r="I48" s="354">
        <f t="shared" si="2"/>
        <v>0</v>
      </c>
      <c r="J48" s="354"/>
      <c r="K48" s="35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</row>
    <row r="49" spans="1:162" s="355" customFormat="1" x14ac:dyDescent="0.3">
      <c r="A49" s="351">
        <v>41</v>
      </c>
      <c r="B49" s="352" t="s">
        <v>47</v>
      </c>
      <c r="C49" s="353">
        <f t="shared" si="0"/>
        <v>0</v>
      </c>
      <c r="D49" s="354"/>
      <c r="E49" s="354"/>
      <c r="F49" s="353">
        <f t="shared" si="1"/>
        <v>0</v>
      </c>
      <c r="G49" s="354"/>
      <c r="H49" s="354"/>
      <c r="I49" s="353">
        <f t="shared" si="2"/>
        <v>0</v>
      </c>
      <c r="J49" s="354"/>
      <c r="K49" s="35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</row>
    <row r="50" spans="1:162" s="355" customFormat="1" x14ac:dyDescent="0.3">
      <c r="A50" s="351">
        <v>42</v>
      </c>
      <c r="B50" s="352" t="s">
        <v>48</v>
      </c>
      <c r="C50" s="353">
        <f t="shared" si="0"/>
        <v>0</v>
      </c>
      <c r="D50" s="354"/>
      <c r="E50" s="354"/>
      <c r="F50" s="353">
        <f t="shared" si="1"/>
        <v>0</v>
      </c>
      <c r="G50" s="354"/>
      <c r="H50" s="354"/>
      <c r="I50" s="353">
        <f t="shared" si="2"/>
        <v>0</v>
      </c>
      <c r="J50" s="354"/>
      <c r="K50" s="35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</row>
    <row r="51" spans="1:162" s="362" customFormat="1" x14ac:dyDescent="0.25">
      <c r="A51" s="359"/>
      <c r="B51" s="360" t="s">
        <v>49</v>
      </c>
      <c r="C51" s="361">
        <f>SUM(C9:C50)</f>
        <v>190498.90000000002</v>
      </c>
      <c r="D51" s="361">
        <f t="shared" ref="D51:K51" si="3">SUM(D9:D50)</f>
        <v>71310.5</v>
      </c>
      <c r="E51" s="361">
        <f t="shared" si="3"/>
        <v>119188.39999999998</v>
      </c>
      <c r="F51" s="361">
        <f t="shared" si="3"/>
        <v>158244.30000000002</v>
      </c>
      <c r="G51" s="361">
        <f t="shared" si="3"/>
        <v>71106.300000000017</v>
      </c>
      <c r="H51" s="361">
        <f t="shared" si="3"/>
        <v>87137.999999999985</v>
      </c>
      <c r="I51" s="361">
        <f t="shared" si="3"/>
        <v>134743.9</v>
      </c>
      <c r="J51" s="361">
        <f t="shared" si="3"/>
        <v>71429.100000000006</v>
      </c>
      <c r="K51" s="361">
        <f t="shared" si="3"/>
        <v>63314.80000000001</v>
      </c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</row>
    <row r="52" spans="1:162" s="362" customFormat="1" x14ac:dyDescent="0.25">
      <c r="A52" s="359"/>
      <c r="B52" s="360" t="s">
        <v>361</v>
      </c>
      <c r="C52" s="364">
        <f>D52+E52</f>
        <v>274.10000000000582</v>
      </c>
      <c r="D52" s="364">
        <f>D53 -D51</f>
        <v>274.10000000000582</v>
      </c>
      <c r="E52" s="364"/>
      <c r="F52" s="354">
        <f>G52+H52</f>
        <v>917.69999999998254</v>
      </c>
      <c r="G52" s="354">
        <f>G53 -G51</f>
        <v>917.69999999998254</v>
      </c>
      <c r="H52" s="354"/>
      <c r="I52" s="354">
        <f>J52+K52</f>
        <v>594.89999999999418</v>
      </c>
      <c r="J52" s="354">
        <f>J53 -J51</f>
        <v>594.89999999999418</v>
      </c>
      <c r="K52" s="354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</row>
    <row r="53" spans="1:162" s="362" customFormat="1" x14ac:dyDescent="0.25">
      <c r="A53" s="359"/>
      <c r="B53" s="360" t="s">
        <v>391</v>
      </c>
      <c r="C53" s="365">
        <f>C51+C52</f>
        <v>190773.00000000003</v>
      </c>
      <c r="D53" s="365">
        <v>71584.600000000006</v>
      </c>
      <c r="E53" s="365">
        <f>E51</f>
        <v>119188.39999999998</v>
      </c>
      <c r="F53" s="365">
        <f>G53+H53</f>
        <v>159162</v>
      </c>
      <c r="G53" s="365">
        <v>72024</v>
      </c>
      <c r="H53" s="365">
        <f>H51</f>
        <v>87137.999999999985</v>
      </c>
      <c r="I53" s="365">
        <f>I51+I52</f>
        <v>135338.79999999999</v>
      </c>
      <c r="J53" s="365">
        <v>72024</v>
      </c>
      <c r="K53" s="365">
        <f>K51</f>
        <v>63314.80000000001</v>
      </c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</row>
    <row r="54" spans="1:162" x14ac:dyDescent="0.3">
      <c r="B54" s="367"/>
      <c r="C54" s="367"/>
      <c r="D54" s="367"/>
      <c r="E54" s="367"/>
    </row>
    <row r="55" spans="1:162" x14ac:dyDescent="0.3">
      <c r="B55" s="367"/>
      <c r="C55" s="367"/>
      <c r="D55" s="367"/>
      <c r="E55" s="367"/>
    </row>
    <row r="56" spans="1:162" x14ac:dyDescent="0.3">
      <c r="B56" s="367"/>
      <c r="C56" s="367"/>
      <c r="D56" s="367"/>
      <c r="E56" s="367"/>
    </row>
    <row r="57" spans="1:162" x14ac:dyDescent="0.3">
      <c r="B57" s="367"/>
      <c r="C57" s="367"/>
      <c r="D57" s="367"/>
      <c r="E57" s="367"/>
    </row>
    <row r="58" spans="1:162" x14ac:dyDescent="0.3">
      <c r="B58" s="367"/>
      <c r="C58" s="367"/>
      <c r="D58" s="367"/>
      <c r="E58" s="367"/>
    </row>
    <row r="59" spans="1:162" x14ac:dyDescent="0.3">
      <c r="B59" s="367"/>
      <c r="C59" s="367"/>
      <c r="D59" s="367"/>
      <c r="E59" s="367"/>
    </row>
    <row r="60" spans="1:162" s="366" customFormat="1" x14ac:dyDescent="0.3">
      <c r="B60" s="367"/>
      <c r="C60" s="367"/>
      <c r="D60" s="367"/>
      <c r="E60" s="36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347"/>
      <c r="DK60" s="347"/>
      <c r="DL60" s="347"/>
      <c r="DM60" s="347"/>
      <c r="DN60" s="347"/>
      <c r="DO60" s="347"/>
      <c r="DP60" s="347"/>
      <c r="DQ60" s="347"/>
      <c r="DR60" s="347"/>
      <c r="DS60" s="347"/>
      <c r="DT60" s="347"/>
      <c r="DU60" s="347"/>
      <c r="DV60" s="347"/>
      <c r="DW60" s="347"/>
      <c r="DX60" s="347"/>
      <c r="DY60" s="347"/>
      <c r="DZ60" s="347"/>
      <c r="EA60" s="347"/>
      <c r="EB60" s="347"/>
      <c r="EC60" s="347"/>
      <c r="ED60" s="347"/>
      <c r="EE60" s="347"/>
      <c r="EF60" s="347"/>
      <c r="EG60" s="347"/>
      <c r="EH60" s="347"/>
      <c r="EI60" s="347"/>
      <c r="EJ60" s="347"/>
      <c r="EK60" s="347"/>
      <c r="EL60" s="347"/>
      <c r="EM60" s="347"/>
      <c r="EN60" s="347"/>
      <c r="EO60" s="347"/>
      <c r="EP60" s="347"/>
      <c r="EQ60" s="347"/>
      <c r="ER60" s="347"/>
      <c r="ES60" s="347"/>
      <c r="ET60" s="347"/>
      <c r="EU60" s="347"/>
      <c r="EV60" s="347"/>
      <c r="EW60" s="347"/>
      <c r="EX60" s="347"/>
      <c r="EY60" s="347"/>
      <c r="EZ60" s="347"/>
      <c r="FA60" s="347"/>
      <c r="FB60" s="347"/>
      <c r="FC60" s="347"/>
      <c r="FD60" s="347"/>
      <c r="FE60" s="347"/>
      <c r="FF60" s="347"/>
    </row>
    <row r="61" spans="1:162" s="366" customFormat="1" x14ac:dyDescent="0.3">
      <c r="B61" s="367"/>
      <c r="C61" s="367"/>
      <c r="D61" s="367"/>
      <c r="E61" s="36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7"/>
      <c r="DS61" s="347"/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7"/>
      <c r="EL61" s="347"/>
      <c r="EM61" s="347"/>
      <c r="EN61" s="347"/>
      <c r="EO61" s="347"/>
      <c r="EP61" s="347"/>
      <c r="EQ61" s="347"/>
      <c r="ER61" s="347"/>
      <c r="ES61" s="347"/>
      <c r="ET61" s="347"/>
      <c r="EU61" s="347"/>
      <c r="EV61" s="347"/>
      <c r="EW61" s="347"/>
      <c r="EX61" s="347"/>
      <c r="EY61" s="347"/>
      <c r="EZ61" s="347"/>
      <c r="FA61" s="347"/>
      <c r="FB61" s="347"/>
      <c r="FC61" s="347"/>
      <c r="FD61" s="347"/>
      <c r="FE61" s="347"/>
      <c r="FF61" s="347"/>
    </row>
    <row r="62" spans="1:162" s="366" customFormat="1" x14ac:dyDescent="0.3">
      <c r="B62" s="367"/>
      <c r="C62" s="367"/>
      <c r="D62" s="367"/>
      <c r="E62" s="36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7"/>
      <c r="EH62" s="347"/>
      <c r="EI62" s="347"/>
      <c r="EJ62" s="347"/>
      <c r="EK62" s="347"/>
      <c r="EL62" s="347"/>
      <c r="EM62" s="347"/>
      <c r="EN62" s="347"/>
      <c r="EO62" s="347"/>
      <c r="EP62" s="347"/>
      <c r="EQ62" s="347"/>
      <c r="ER62" s="347"/>
      <c r="ES62" s="347"/>
      <c r="ET62" s="347"/>
      <c r="EU62" s="347"/>
      <c r="EV62" s="347"/>
      <c r="EW62" s="347"/>
      <c r="EX62" s="347"/>
      <c r="EY62" s="347"/>
      <c r="EZ62" s="347"/>
      <c r="FA62" s="347"/>
      <c r="FB62" s="347"/>
      <c r="FC62" s="347"/>
      <c r="FD62" s="347"/>
      <c r="FE62" s="347"/>
      <c r="FF62" s="347"/>
    </row>
    <row r="63" spans="1:162" s="366" customFormat="1" x14ac:dyDescent="0.3">
      <c r="B63" s="367"/>
      <c r="C63" s="367"/>
      <c r="D63" s="367"/>
      <c r="E63" s="36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7"/>
      <c r="BX63" s="347"/>
      <c r="BY63" s="347"/>
      <c r="BZ63" s="347"/>
      <c r="CA63" s="347"/>
      <c r="CB63" s="347"/>
      <c r="CC63" s="347"/>
      <c r="CD63" s="347"/>
      <c r="CE63" s="347"/>
      <c r="CF63" s="347"/>
      <c r="CG63" s="347"/>
      <c r="CH63" s="347"/>
      <c r="CI63" s="347"/>
      <c r="CJ63" s="347"/>
      <c r="CK63" s="347"/>
      <c r="CL63" s="347"/>
      <c r="CM63" s="347"/>
      <c r="CN63" s="347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7"/>
      <c r="DB63" s="347"/>
      <c r="DC63" s="347"/>
      <c r="DD63" s="347"/>
      <c r="DE63" s="347"/>
      <c r="DF63" s="347"/>
      <c r="DG63" s="347"/>
      <c r="DH63" s="347"/>
      <c r="DI63" s="347"/>
      <c r="DJ63" s="347"/>
      <c r="DK63" s="347"/>
      <c r="DL63" s="347"/>
      <c r="DM63" s="347"/>
      <c r="DN63" s="347"/>
      <c r="DO63" s="347"/>
      <c r="DP63" s="347"/>
      <c r="DQ63" s="347"/>
      <c r="DR63" s="347"/>
      <c r="DS63" s="347"/>
      <c r="DT63" s="347"/>
      <c r="DU63" s="347"/>
      <c r="DV63" s="347"/>
      <c r="DW63" s="347"/>
      <c r="DX63" s="347"/>
      <c r="DY63" s="347"/>
      <c r="DZ63" s="347"/>
      <c r="EA63" s="347"/>
      <c r="EB63" s="347"/>
      <c r="EC63" s="347"/>
      <c r="ED63" s="347"/>
      <c r="EE63" s="347"/>
      <c r="EF63" s="347"/>
      <c r="EG63" s="347"/>
      <c r="EH63" s="347"/>
      <c r="EI63" s="347"/>
      <c r="EJ63" s="347"/>
      <c r="EK63" s="347"/>
      <c r="EL63" s="347"/>
      <c r="EM63" s="347"/>
      <c r="EN63" s="347"/>
      <c r="EO63" s="347"/>
      <c r="EP63" s="347"/>
      <c r="EQ63" s="347"/>
      <c r="ER63" s="347"/>
      <c r="ES63" s="347"/>
      <c r="ET63" s="347"/>
      <c r="EU63" s="347"/>
      <c r="EV63" s="347"/>
      <c r="EW63" s="347"/>
      <c r="EX63" s="347"/>
      <c r="EY63" s="347"/>
      <c r="EZ63" s="347"/>
      <c r="FA63" s="347"/>
      <c r="FB63" s="347"/>
      <c r="FC63" s="347"/>
      <c r="FD63" s="347"/>
      <c r="FE63" s="347"/>
      <c r="FF63" s="347"/>
    </row>
    <row r="64" spans="1:162" s="366" customFormat="1" x14ac:dyDescent="0.3">
      <c r="B64" s="367"/>
      <c r="C64" s="367"/>
      <c r="D64" s="367"/>
      <c r="E64" s="36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  <c r="DF64" s="347"/>
      <c r="DG64" s="347"/>
      <c r="DH64" s="347"/>
      <c r="DI64" s="347"/>
      <c r="DJ64" s="347"/>
      <c r="DK64" s="347"/>
      <c r="DL64" s="347"/>
      <c r="DM64" s="347"/>
      <c r="DN64" s="347"/>
      <c r="DO64" s="347"/>
      <c r="DP64" s="347"/>
      <c r="DQ64" s="347"/>
      <c r="DR64" s="347"/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7"/>
      <c r="ED64" s="347"/>
      <c r="EE64" s="347"/>
      <c r="EF64" s="347"/>
      <c r="EG64" s="347"/>
      <c r="EH64" s="347"/>
      <c r="EI64" s="347"/>
      <c r="EJ64" s="347"/>
      <c r="EK64" s="347"/>
      <c r="EL64" s="347"/>
      <c r="EM64" s="347"/>
      <c r="EN64" s="347"/>
      <c r="EO64" s="347"/>
      <c r="EP64" s="347"/>
      <c r="EQ64" s="347"/>
      <c r="ER64" s="347"/>
      <c r="ES64" s="347"/>
      <c r="ET64" s="347"/>
      <c r="EU64" s="347"/>
      <c r="EV64" s="347"/>
      <c r="EW64" s="347"/>
      <c r="EX64" s="347"/>
      <c r="EY64" s="347"/>
      <c r="EZ64" s="347"/>
      <c r="FA64" s="347"/>
      <c r="FB64" s="347"/>
      <c r="FC64" s="347"/>
      <c r="FD64" s="347"/>
      <c r="FE64" s="347"/>
      <c r="FF64" s="347"/>
    </row>
    <row r="65" spans="2:162" s="366" customFormat="1" x14ac:dyDescent="0.3">
      <c r="B65" s="368"/>
      <c r="C65" s="368"/>
      <c r="D65" s="368"/>
      <c r="E65" s="368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7"/>
      <c r="BE65" s="347"/>
      <c r="BF65" s="347"/>
      <c r="BG65" s="347"/>
      <c r="BH65" s="347"/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  <c r="BW65" s="347"/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347"/>
      <c r="DB65" s="347"/>
      <c r="DC65" s="347"/>
      <c r="DD65" s="347"/>
      <c r="DE65" s="347"/>
      <c r="DF65" s="347"/>
      <c r="DG65" s="347"/>
      <c r="DH65" s="347"/>
      <c r="DI65" s="347"/>
      <c r="DJ65" s="347"/>
      <c r="DK65" s="347"/>
      <c r="DL65" s="347"/>
      <c r="DM65" s="347"/>
      <c r="DN65" s="347"/>
      <c r="DO65" s="347"/>
      <c r="DP65" s="347"/>
      <c r="DQ65" s="347"/>
      <c r="DR65" s="347"/>
      <c r="DS65" s="347"/>
      <c r="DT65" s="347"/>
      <c r="DU65" s="347"/>
      <c r="DV65" s="347"/>
      <c r="DW65" s="347"/>
      <c r="DX65" s="347"/>
      <c r="DY65" s="347"/>
      <c r="DZ65" s="347"/>
      <c r="EA65" s="347"/>
      <c r="EB65" s="347"/>
      <c r="EC65" s="347"/>
      <c r="ED65" s="347"/>
      <c r="EE65" s="347"/>
      <c r="EF65" s="347"/>
      <c r="EG65" s="347"/>
      <c r="EH65" s="347"/>
      <c r="EI65" s="347"/>
      <c r="EJ65" s="347"/>
      <c r="EK65" s="347"/>
      <c r="EL65" s="347"/>
      <c r="EM65" s="347"/>
      <c r="EN65" s="347"/>
      <c r="EO65" s="347"/>
      <c r="EP65" s="347"/>
      <c r="EQ65" s="347"/>
      <c r="ER65" s="347"/>
      <c r="ES65" s="347"/>
      <c r="ET65" s="347"/>
      <c r="EU65" s="347"/>
      <c r="EV65" s="347"/>
      <c r="EW65" s="347"/>
      <c r="EX65" s="347"/>
      <c r="EY65" s="347"/>
      <c r="EZ65" s="347"/>
      <c r="FA65" s="347"/>
      <c r="FB65" s="347"/>
      <c r="FC65" s="347"/>
      <c r="FD65" s="347"/>
      <c r="FE65" s="347"/>
      <c r="FF65" s="347"/>
    </row>
    <row r="66" spans="2:162" s="366" customFormat="1" x14ac:dyDescent="0.3">
      <c r="B66" s="367"/>
      <c r="C66" s="367"/>
      <c r="D66" s="367"/>
      <c r="E66" s="36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  <c r="BD66" s="347"/>
      <c r="BE66" s="347"/>
      <c r="BF66" s="347"/>
      <c r="BG66" s="347"/>
      <c r="BH66" s="347"/>
      <c r="BI66" s="347"/>
      <c r="BJ66" s="347"/>
      <c r="BK66" s="347"/>
      <c r="BL66" s="347"/>
      <c r="BM66" s="347"/>
      <c r="BN66" s="347"/>
      <c r="BO66" s="347"/>
      <c r="BP66" s="347"/>
      <c r="BQ66" s="347"/>
      <c r="BR66" s="347"/>
      <c r="BS66" s="347"/>
      <c r="BT66" s="347"/>
      <c r="BU66" s="347"/>
      <c r="BV66" s="347"/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7"/>
      <c r="CZ66" s="347"/>
      <c r="DA66" s="347"/>
      <c r="DB66" s="347"/>
      <c r="DC66" s="347"/>
      <c r="DD66" s="347"/>
      <c r="DE66" s="347"/>
      <c r="DF66" s="347"/>
      <c r="DG66" s="347"/>
      <c r="DH66" s="347"/>
      <c r="DI66" s="347"/>
      <c r="DJ66" s="347"/>
      <c r="DK66" s="347"/>
      <c r="DL66" s="347"/>
      <c r="DM66" s="347"/>
      <c r="DN66" s="347"/>
      <c r="DO66" s="347"/>
      <c r="DP66" s="347"/>
      <c r="DQ66" s="347"/>
      <c r="DR66" s="347"/>
      <c r="DS66" s="347"/>
      <c r="DT66" s="347"/>
      <c r="DU66" s="347"/>
      <c r="DV66" s="347"/>
      <c r="DW66" s="347"/>
      <c r="DX66" s="347"/>
      <c r="DY66" s="347"/>
      <c r="DZ66" s="347"/>
      <c r="EA66" s="347"/>
      <c r="EB66" s="347"/>
      <c r="EC66" s="347"/>
      <c r="ED66" s="347"/>
      <c r="EE66" s="347"/>
      <c r="EF66" s="347"/>
      <c r="EG66" s="347"/>
      <c r="EH66" s="347"/>
      <c r="EI66" s="347"/>
      <c r="EJ66" s="347"/>
      <c r="EK66" s="347"/>
      <c r="EL66" s="347"/>
      <c r="EM66" s="347"/>
      <c r="EN66" s="347"/>
      <c r="EO66" s="347"/>
      <c r="EP66" s="347"/>
      <c r="EQ66" s="347"/>
      <c r="ER66" s="347"/>
      <c r="ES66" s="347"/>
      <c r="ET66" s="347"/>
      <c r="EU66" s="347"/>
      <c r="EV66" s="347"/>
      <c r="EW66" s="347"/>
      <c r="EX66" s="347"/>
      <c r="EY66" s="347"/>
      <c r="EZ66" s="347"/>
      <c r="FA66" s="347"/>
      <c r="FB66" s="347"/>
      <c r="FC66" s="347"/>
      <c r="FD66" s="347"/>
      <c r="FE66" s="347"/>
      <c r="FF66" s="347"/>
    </row>
    <row r="67" spans="2:162" s="366" customFormat="1" x14ac:dyDescent="0.3">
      <c r="B67" s="367"/>
      <c r="C67" s="367"/>
      <c r="D67" s="367"/>
      <c r="E67" s="36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7"/>
      <c r="BF67" s="347"/>
      <c r="BG67" s="347"/>
      <c r="BH67" s="347"/>
      <c r="BI67" s="347"/>
      <c r="BJ67" s="347"/>
      <c r="BK67" s="347"/>
      <c r="BL67" s="347"/>
      <c r="BM67" s="347"/>
      <c r="BN67" s="347"/>
      <c r="BO67" s="347"/>
      <c r="BP67" s="347"/>
      <c r="BQ67" s="347"/>
      <c r="BR67" s="347"/>
      <c r="BS67" s="347"/>
      <c r="BT67" s="347"/>
      <c r="BU67" s="347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7"/>
      <c r="CY67" s="347"/>
      <c r="CZ67" s="347"/>
      <c r="DA67" s="347"/>
      <c r="DB67" s="347"/>
      <c r="DC67" s="347"/>
      <c r="DD67" s="347"/>
      <c r="DE67" s="347"/>
      <c r="DF67" s="347"/>
      <c r="DG67" s="347"/>
      <c r="DH67" s="347"/>
      <c r="DI67" s="347"/>
      <c r="DJ67" s="347"/>
      <c r="DK67" s="347"/>
      <c r="DL67" s="347"/>
      <c r="DM67" s="347"/>
      <c r="DN67" s="347"/>
      <c r="DO67" s="347"/>
      <c r="DP67" s="347"/>
      <c r="DQ67" s="347"/>
      <c r="DR67" s="347"/>
      <c r="DS67" s="347"/>
      <c r="DT67" s="347"/>
      <c r="DU67" s="347"/>
      <c r="DV67" s="347"/>
      <c r="DW67" s="347"/>
      <c r="DX67" s="347"/>
      <c r="DY67" s="347"/>
      <c r="DZ67" s="347"/>
      <c r="EA67" s="347"/>
      <c r="EB67" s="347"/>
      <c r="EC67" s="347"/>
      <c r="ED67" s="347"/>
      <c r="EE67" s="347"/>
      <c r="EF67" s="347"/>
      <c r="EG67" s="347"/>
      <c r="EH67" s="347"/>
      <c r="EI67" s="347"/>
      <c r="EJ67" s="347"/>
      <c r="EK67" s="347"/>
      <c r="EL67" s="347"/>
      <c r="EM67" s="347"/>
      <c r="EN67" s="347"/>
      <c r="EO67" s="347"/>
      <c r="EP67" s="347"/>
      <c r="EQ67" s="347"/>
      <c r="ER67" s="347"/>
      <c r="ES67" s="347"/>
      <c r="ET67" s="347"/>
      <c r="EU67" s="347"/>
      <c r="EV67" s="347"/>
      <c r="EW67" s="347"/>
      <c r="EX67" s="347"/>
      <c r="EY67" s="347"/>
      <c r="EZ67" s="347"/>
      <c r="FA67" s="347"/>
      <c r="FB67" s="347"/>
      <c r="FC67" s="347"/>
      <c r="FD67" s="347"/>
      <c r="FE67" s="347"/>
      <c r="FF67" s="347"/>
    </row>
    <row r="68" spans="2:162" s="366" customFormat="1" x14ac:dyDescent="0.3">
      <c r="B68" s="367"/>
      <c r="C68" s="367"/>
      <c r="D68" s="367"/>
      <c r="E68" s="36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  <c r="BD68" s="347"/>
      <c r="BE68" s="347"/>
      <c r="BF68" s="347"/>
      <c r="BG68" s="347"/>
      <c r="BH68" s="347"/>
      <c r="BI68" s="347"/>
      <c r="BJ68" s="347"/>
      <c r="BK68" s="347"/>
      <c r="BL68" s="347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7"/>
      <c r="DF68" s="347"/>
      <c r="DG68" s="347"/>
      <c r="DH68" s="347"/>
      <c r="DI68" s="347"/>
      <c r="DJ68" s="347"/>
      <c r="DK68" s="347"/>
      <c r="DL68" s="347"/>
      <c r="DM68" s="347"/>
      <c r="DN68" s="347"/>
      <c r="DO68" s="347"/>
      <c r="DP68" s="347"/>
      <c r="DQ68" s="347"/>
      <c r="DR68" s="347"/>
      <c r="DS68" s="347"/>
      <c r="DT68" s="347"/>
      <c r="DU68" s="347"/>
      <c r="DV68" s="347"/>
      <c r="DW68" s="347"/>
      <c r="DX68" s="347"/>
      <c r="DY68" s="347"/>
      <c r="DZ68" s="347"/>
      <c r="EA68" s="347"/>
      <c r="EB68" s="347"/>
      <c r="EC68" s="347"/>
      <c r="ED68" s="347"/>
      <c r="EE68" s="347"/>
      <c r="EF68" s="347"/>
      <c r="EG68" s="347"/>
      <c r="EH68" s="347"/>
      <c r="EI68" s="347"/>
      <c r="EJ68" s="347"/>
      <c r="EK68" s="347"/>
      <c r="EL68" s="347"/>
      <c r="EM68" s="347"/>
      <c r="EN68" s="347"/>
      <c r="EO68" s="347"/>
      <c r="EP68" s="347"/>
      <c r="EQ68" s="347"/>
      <c r="ER68" s="347"/>
      <c r="ES68" s="347"/>
      <c r="ET68" s="347"/>
      <c r="EU68" s="347"/>
      <c r="EV68" s="347"/>
      <c r="EW68" s="347"/>
      <c r="EX68" s="347"/>
      <c r="EY68" s="347"/>
      <c r="EZ68" s="347"/>
      <c r="FA68" s="347"/>
      <c r="FB68" s="347"/>
      <c r="FC68" s="347"/>
      <c r="FD68" s="347"/>
      <c r="FE68" s="347"/>
      <c r="FF68" s="347"/>
    </row>
    <row r="69" spans="2:162" s="366" customFormat="1" x14ac:dyDescent="0.3">
      <c r="B69" s="367"/>
      <c r="C69" s="367"/>
      <c r="D69" s="367"/>
      <c r="E69" s="36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7"/>
      <c r="BE69" s="347"/>
      <c r="BF69" s="347"/>
      <c r="BG69" s="347"/>
      <c r="BH69" s="347"/>
      <c r="BI69" s="347"/>
      <c r="BJ69" s="347"/>
      <c r="BK69" s="347"/>
      <c r="BL69" s="347"/>
      <c r="BM69" s="347"/>
      <c r="BN69" s="347"/>
      <c r="BO69" s="347"/>
      <c r="BP69" s="347"/>
      <c r="BQ69" s="347"/>
      <c r="BR69" s="347"/>
      <c r="BS69" s="347"/>
      <c r="BT69" s="347"/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7"/>
      <c r="DM69" s="347"/>
      <c r="DN69" s="347"/>
      <c r="DO69" s="347"/>
      <c r="DP69" s="347"/>
      <c r="DQ69" s="347"/>
      <c r="DR69" s="347"/>
      <c r="DS69" s="347"/>
      <c r="DT69" s="347"/>
      <c r="DU69" s="347"/>
      <c r="DV69" s="347"/>
      <c r="DW69" s="347"/>
      <c r="DX69" s="347"/>
      <c r="DY69" s="347"/>
      <c r="DZ69" s="347"/>
      <c r="EA69" s="347"/>
      <c r="EB69" s="347"/>
      <c r="EC69" s="347"/>
      <c r="ED69" s="347"/>
      <c r="EE69" s="347"/>
      <c r="EF69" s="347"/>
      <c r="EG69" s="347"/>
      <c r="EH69" s="347"/>
      <c r="EI69" s="347"/>
      <c r="EJ69" s="347"/>
      <c r="EK69" s="347"/>
      <c r="EL69" s="347"/>
      <c r="EM69" s="347"/>
      <c r="EN69" s="347"/>
      <c r="EO69" s="347"/>
      <c r="EP69" s="347"/>
      <c r="EQ69" s="347"/>
      <c r="ER69" s="347"/>
      <c r="ES69" s="347"/>
      <c r="ET69" s="347"/>
      <c r="EU69" s="347"/>
      <c r="EV69" s="347"/>
      <c r="EW69" s="347"/>
      <c r="EX69" s="347"/>
      <c r="EY69" s="347"/>
      <c r="EZ69" s="347"/>
      <c r="FA69" s="347"/>
      <c r="FB69" s="347"/>
      <c r="FC69" s="347"/>
      <c r="FD69" s="347"/>
      <c r="FE69" s="347"/>
      <c r="FF69" s="347"/>
    </row>
    <row r="70" spans="2:162" s="366" customFormat="1" x14ac:dyDescent="0.3">
      <c r="B70" s="368"/>
      <c r="C70" s="368"/>
      <c r="D70" s="368"/>
      <c r="E70" s="368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47"/>
      <c r="BM70" s="347"/>
      <c r="BN70" s="347"/>
      <c r="BO70" s="347"/>
      <c r="BP70" s="347"/>
      <c r="BQ70" s="347"/>
      <c r="BR70" s="347"/>
      <c r="BS70" s="347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7"/>
      <c r="DI70" s="347"/>
      <c r="DJ70" s="347"/>
      <c r="DK70" s="347"/>
      <c r="DL70" s="347"/>
      <c r="DM70" s="347"/>
      <c r="DN70" s="347"/>
      <c r="DO70" s="347"/>
      <c r="DP70" s="347"/>
      <c r="DQ70" s="347"/>
      <c r="DR70" s="347"/>
      <c r="DS70" s="347"/>
      <c r="DT70" s="347"/>
      <c r="DU70" s="347"/>
      <c r="DV70" s="347"/>
      <c r="DW70" s="347"/>
      <c r="DX70" s="347"/>
      <c r="DY70" s="347"/>
      <c r="DZ70" s="347"/>
      <c r="EA70" s="347"/>
      <c r="EB70" s="347"/>
      <c r="EC70" s="347"/>
      <c r="ED70" s="347"/>
      <c r="EE70" s="347"/>
      <c r="EF70" s="347"/>
      <c r="EG70" s="347"/>
      <c r="EH70" s="347"/>
      <c r="EI70" s="347"/>
      <c r="EJ70" s="347"/>
      <c r="EK70" s="347"/>
      <c r="EL70" s="347"/>
      <c r="EM70" s="347"/>
      <c r="EN70" s="347"/>
      <c r="EO70" s="347"/>
      <c r="EP70" s="347"/>
      <c r="EQ70" s="347"/>
      <c r="ER70" s="347"/>
      <c r="ES70" s="347"/>
      <c r="ET70" s="347"/>
      <c r="EU70" s="347"/>
      <c r="EV70" s="347"/>
      <c r="EW70" s="347"/>
      <c r="EX70" s="347"/>
      <c r="EY70" s="347"/>
      <c r="EZ70" s="347"/>
      <c r="FA70" s="347"/>
      <c r="FB70" s="347"/>
      <c r="FC70" s="347"/>
      <c r="FD70" s="347"/>
      <c r="FE70" s="347"/>
      <c r="FF70" s="347"/>
    </row>
    <row r="71" spans="2:162" s="366" customFormat="1" x14ac:dyDescent="0.3">
      <c r="B71" s="367"/>
      <c r="C71" s="367"/>
      <c r="D71" s="367"/>
      <c r="E71" s="36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7"/>
      <c r="DE71" s="347"/>
      <c r="DF71" s="347"/>
      <c r="DG71" s="347"/>
      <c r="DH71" s="347"/>
      <c r="DI71" s="347"/>
      <c r="DJ71" s="347"/>
      <c r="DK71" s="347"/>
      <c r="DL71" s="347"/>
      <c r="DM71" s="347"/>
      <c r="DN71" s="347"/>
      <c r="DO71" s="347"/>
      <c r="DP71" s="347"/>
      <c r="DQ71" s="347"/>
      <c r="DR71" s="347"/>
      <c r="DS71" s="347"/>
      <c r="DT71" s="347"/>
      <c r="DU71" s="347"/>
      <c r="DV71" s="347"/>
      <c r="DW71" s="347"/>
      <c r="DX71" s="347"/>
      <c r="DY71" s="347"/>
      <c r="DZ71" s="347"/>
      <c r="EA71" s="347"/>
      <c r="EB71" s="347"/>
      <c r="EC71" s="347"/>
      <c r="ED71" s="347"/>
      <c r="EE71" s="347"/>
      <c r="EF71" s="347"/>
      <c r="EG71" s="347"/>
      <c r="EH71" s="347"/>
      <c r="EI71" s="347"/>
      <c r="EJ71" s="347"/>
      <c r="EK71" s="347"/>
      <c r="EL71" s="347"/>
      <c r="EM71" s="347"/>
      <c r="EN71" s="347"/>
      <c r="EO71" s="347"/>
      <c r="EP71" s="347"/>
      <c r="EQ71" s="347"/>
      <c r="ER71" s="347"/>
      <c r="ES71" s="347"/>
      <c r="ET71" s="347"/>
      <c r="EU71" s="347"/>
      <c r="EV71" s="347"/>
      <c r="EW71" s="347"/>
      <c r="EX71" s="347"/>
      <c r="EY71" s="347"/>
      <c r="EZ71" s="347"/>
      <c r="FA71" s="347"/>
      <c r="FB71" s="347"/>
      <c r="FC71" s="347"/>
      <c r="FD71" s="347"/>
      <c r="FE71" s="347"/>
      <c r="FF71" s="347"/>
    </row>
    <row r="72" spans="2:162" s="366" customFormat="1" x14ac:dyDescent="0.3">
      <c r="B72" s="367"/>
      <c r="C72" s="367"/>
      <c r="D72" s="367"/>
      <c r="E72" s="36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7"/>
      <c r="BE72" s="347"/>
      <c r="BF72" s="347"/>
      <c r="BG72" s="347"/>
      <c r="BH72" s="347"/>
      <c r="BI72" s="347"/>
      <c r="BJ72" s="347"/>
      <c r="BK72" s="347"/>
      <c r="BL72" s="347"/>
      <c r="BM72" s="347"/>
      <c r="BN72" s="347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7"/>
      <c r="DE72" s="347"/>
      <c r="DF72" s="347"/>
      <c r="DG72" s="347"/>
      <c r="DH72" s="347"/>
      <c r="DI72" s="347"/>
      <c r="DJ72" s="347"/>
      <c r="DK72" s="347"/>
      <c r="DL72" s="347"/>
      <c r="DM72" s="347"/>
      <c r="DN72" s="347"/>
      <c r="DO72" s="347"/>
      <c r="DP72" s="347"/>
      <c r="DQ72" s="347"/>
      <c r="DR72" s="347"/>
      <c r="DS72" s="347"/>
      <c r="DT72" s="347"/>
      <c r="DU72" s="347"/>
      <c r="DV72" s="347"/>
      <c r="DW72" s="347"/>
      <c r="DX72" s="347"/>
      <c r="DY72" s="347"/>
      <c r="DZ72" s="347"/>
      <c r="EA72" s="347"/>
      <c r="EB72" s="347"/>
      <c r="EC72" s="347"/>
      <c r="ED72" s="347"/>
      <c r="EE72" s="347"/>
      <c r="EF72" s="347"/>
      <c r="EG72" s="347"/>
      <c r="EH72" s="347"/>
      <c r="EI72" s="347"/>
      <c r="EJ72" s="347"/>
      <c r="EK72" s="347"/>
      <c r="EL72" s="347"/>
      <c r="EM72" s="347"/>
      <c r="EN72" s="347"/>
      <c r="EO72" s="347"/>
      <c r="EP72" s="347"/>
      <c r="EQ72" s="347"/>
      <c r="ER72" s="347"/>
      <c r="ES72" s="347"/>
      <c r="ET72" s="347"/>
      <c r="EU72" s="347"/>
      <c r="EV72" s="347"/>
      <c r="EW72" s="347"/>
      <c r="EX72" s="347"/>
      <c r="EY72" s="347"/>
      <c r="EZ72" s="347"/>
      <c r="FA72" s="347"/>
      <c r="FB72" s="347"/>
      <c r="FC72" s="347"/>
      <c r="FD72" s="347"/>
      <c r="FE72" s="347"/>
      <c r="FF72" s="347"/>
    </row>
    <row r="73" spans="2:162" s="366" customFormat="1" x14ac:dyDescent="0.3">
      <c r="B73" s="367"/>
      <c r="C73" s="367"/>
      <c r="D73" s="367"/>
      <c r="E73" s="36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7"/>
      <c r="BE73" s="347"/>
      <c r="BF73" s="347"/>
      <c r="BG73" s="347"/>
      <c r="BH73" s="347"/>
      <c r="BI73" s="347"/>
      <c r="BJ73" s="347"/>
      <c r="BK73" s="347"/>
      <c r="BL73" s="347"/>
      <c r="BM73" s="347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7"/>
      <c r="CK73" s="347"/>
      <c r="CL73" s="347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7"/>
      <c r="CY73" s="347"/>
      <c r="CZ73" s="347"/>
      <c r="DA73" s="347"/>
      <c r="DB73" s="347"/>
      <c r="DC73" s="347"/>
      <c r="DD73" s="347"/>
      <c r="DE73" s="347"/>
      <c r="DF73" s="347"/>
      <c r="DG73" s="347"/>
      <c r="DH73" s="347"/>
      <c r="DI73" s="347"/>
      <c r="DJ73" s="347"/>
      <c r="DK73" s="347"/>
      <c r="DL73" s="347"/>
      <c r="DM73" s="347"/>
      <c r="DN73" s="347"/>
      <c r="DO73" s="347"/>
      <c r="DP73" s="347"/>
      <c r="DQ73" s="347"/>
      <c r="DR73" s="347"/>
      <c r="DS73" s="347"/>
      <c r="DT73" s="347"/>
      <c r="DU73" s="347"/>
      <c r="DV73" s="347"/>
      <c r="DW73" s="347"/>
      <c r="DX73" s="347"/>
      <c r="DY73" s="347"/>
      <c r="DZ73" s="347"/>
      <c r="EA73" s="347"/>
      <c r="EB73" s="347"/>
      <c r="EC73" s="347"/>
      <c r="ED73" s="347"/>
      <c r="EE73" s="347"/>
      <c r="EF73" s="347"/>
      <c r="EG73" s="347"/>
      <c r="EH73" s="347"/>
      <c r="EI73" s="347"/>
      <c r="EJ73" s="347"/>
      <c r="EK73" s="347"/>
      <c r="EL73" s="347"/>
      <c r="EM73" s="347"/>
      <c r="EN73" s="347"/>
      <c r="EO73" s="347"/>
      <c r="EP73" s="347"/>
      <c r="EQ73" s="347"/>
      <c r="ER73" s="347"/>
      <c r="ES73" s="347"/>
      <c r="ET73" s="347"/>
      <c r="EU73" s="347"/>
      <c r="EV73" s="347"/>
      <c r="EW73" s="347"/>
      <c r="EX73" s="347"/>
      <c r="EY73" s="347"/>
      <c r="EZ73" s="347"/>
      <c r="FA73" s="347"/>
      <c r="FB73" s="347"/>
      <c r="FC73" s="347"/>
      <c r="FD73" s="347"/>
      <c r="FE73" s="347"/>
      <c r="FF73" s="347"/>
    </row>
    <row r="74" spans="2:162" s="366" customFormat="1" x14ac:dyDescent="0.3">
      <c r="B74" s="367"/>
      <c r="C74" s="367"/>
      <c r="D74" s="367"/>
      <c r="E74" s="36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7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347"/>
      <c r="CI74" s="347"/>
      <c r="CJ74" s="347"/>
      <c r="CK74" s="347"/>
      <c r="CL74" s="347"/>
      <c r="CM74" s="347"/>
      <c r="CN74" s="347"/>
      <c r="CO74" s="347"/>
      <c r="CP74" s="347"/>
      <c r="CQ74" s="347"/>
      <c r="CR74" s="347"/>
      <c r="CS74" s="347"/>
      <c r="CT74" s="347"/>
      <c r="CU74" s="347"/>
      <c r="CV74" s="347"/>
      <c r="CW74" s="347"/>
      <c r="CX74" s="347"/>
      <c r="CY74" s="347"/>
      <c r="CZ74" s="347"/>
      <c r="DA74" s="347"/>
      <c r="DB74" s="347"/>
      <c r="DC74" s="347"/>
      <c r="DD74" s="347"/>
      <c r="DE74" s="347"/>
      <c r="DF74" s="347"/>
      <c r="DG74" s="347"/>
      <c r="DH74" s="347"/>
      <c r="DI74" s="347"/>
      <c r="DJ74" s="347"/>
      <c r="DK74" s="347"/>
      <c r="DL74" s="347"/>
      <c r="DM74" s="347"/>
      <c r="DN74" s="347"/>
      <c r="DO74" s="347"/>
      <c r="DP74" s="347"/>
      <c r="DQ74" s="347"/>
      <c r="DR74" s="347"/>
      <c r="DS74" s="347"/>
      <c r="DT74" s="347"/>
      <c r="DU74" s="347"/>
      <c r="DV74" s="347"/>
      <c r="DW74" s="347"/>
      <c r="DX74" s="347"/>
      <c r="DY74" s="347"/>
      <c r="DZ74" s="347"/>
      <c r="EA74" s="347"/>
      <c r="EB74" s="347"/>
      <c r="EC74" s="347"/>
      <c r="ED74" s="347"/>
      <c r="EE74" s="347"/>
      <c r="EF74" s="347"/>
      <c r="EG74" s="347"/>
      <c r="EH74" s="347"/>
      <c r="EI74" s="347"/>
      <c r="EJ74" s="347"/>
      <c r="EK74" s="347"/>
      <c r="EL74" s="347"/>
      <c r="EM74" s="347"/>
      <c r="EN74" s="347"/>
      <c r="EO74" s="347"/>
      <c r="EP74" s="347"/>
      <c r="EQ74" s="347"/>
      <c r="ER74" s="347"/>
      <c r="ES74" s="347"/>
      <c r="ET74" s="347"/>
      <c r="EU74" s="347"/>
      <c r="EV74" s="347"/>
      <c r="EW74" s="347"/>
      <c r="EX74" s="347"/>
      <c r="EY74" s="347"/>
      <c r="EZ74" s="347"/>
      <c r="FA74" s="347"/>
      <c r="FB74" s="347"/>
      <c r="FC74" s="347"/>
      <c r="FD74" s="347"/>
      <c r="FE74" s="347"/>
      <c r="FF74" s="347"/>
    </row>
    <row r="75" spans="2:162" s="366" customFormat="1" x14ac:dyDescent="0.3">
      <c r="B75" s="367"/>
      <c r="C75" s="367"/>
      <c r="D75" s="367"/>
      <c r="E75" s="36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/>
      <c r="CL75" s="347"/>
      <c r="CM75" s="347"/>
      <c r="CN75" s="347"/>
      <c r="CO75" s="347"/>
      <c r="CP75" s="347"/>
      <c r="CQ75" s="347"/>
      <c r="CR75" s="347"/>
      <c r="CS75" s="347"/>
      <c r="CT75" s="347"/>
      <c r="CU75" s="347"/>
      <c r="CV75" s="347"/>
      <c r="CW75" s="347"/>
      <c r="CX75" s="347"/>
      <c r="CY75" s="347"/>
      <c r="CZ75" s="347"/>
      <c r="DA75" s="347"/>
      <c r="DB75" s="347"/>
      <c r="DC75" s="347"/>
      <c r="DD75" s="347"/>
      <c r="DE75" s="347"/>
      <c r="DF75" s="347"/>
      <c r="DG75" s="347"/>
      <c r="DH75" s="347"/>
      <c r="DI75" s="347"/>
      <c r="DJ75" s="347"/>
      <c r="DK75" s="347"/>
      <c r="DL75" s="347"/>
      <c r="DM75" s="347"/>
      <c r="DN75" s="347"/>
      <c r="DO75" s="347"/>
      <c r="DP75" s="347"/>
      <c r="DQ75" s="347"/>
      <c r="DR75" s="347"/>
      <c r="DS75" s="347"/>
      <c r="DT75" s="347"/>
      <c r="DU75" s="347"/>
      <c r="DV75" s="347"/>
      <c r="DW75" s="347"/>
      <c r="DX75" s="347"/>
      <c r="DY75" s="347"/>
      <c r="DZ75" s="347"/>
      <c r="EA75" s="347"/>
      <c r="EB75" s="347"/>
      <c r="EC75" s="347"/>
      <c r="ED75" s="347"/>
      <c r="EE75" s="347"/>
      <c r="EF75" s="347"/>
      <c r="EG75" s="347"/>
      <c r="EH75" s="347"/>
      <c r="EI75" s="347"/>
      <c r="EJ75" s="347"/>
      <c r="EK75" s="347"/>
      <c r="EL75" s="347"/>
      <c r="EM75" s="347"/>
      <c r="EN75" s="347"/>
      <c r="EO75" s="347"/>
      <c r="EP75" s="347"/>
      <c r="EQ75" s="347"/>
      <c r="ER75" s="347"/>
      <c r="ES75" s="347"/>
      <c r="ET75" s="347"/>
      <c r="EU75" s="347"/>
      <c r="EV75" s="347"/>
      <c r="EW75" s="347"/>
      <c r="EX75" s="347"/>
      <c r="EY75" s="347"/>
      <c r="EZ75" s="347"/>
      <c r="FA75" s="347"/>
      <c r="FB75" s="347"/>
      <c r="FC75" s="347"/>
      <c r="FD75" s="347"/>
      <c r="FE75" s="347"/>
      <c r="FF75" s="347"/>
    </row>
    <row r="76" spans="2:162" s="366" customFormat="1" x14ac:dyDescent="0.3">
      <c r="B76" s="367"/>
      <c r="C76" s="367"/>
      <c r="D76" s="367"/>
      <c r="E76" s="36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47"/>
      <c r="BF76" s="347"/>
      <c r="BG76" s="347"/>
      <c r="BH76" s="347"/>
      <c r="BI76" s="347"/>
      <c r="BJ76" s="347"/>
      <c r="BK76" s="347"/>
      <c r="BL76" s="347"/>
      <c r="BM76" s="347"/>
      <c r="BN76" s="347"/>
      <c r="BO76" s="347"/>
      <c r="BP76" s="347"/>
      <c r="BQ76" s="347"/>
      <c r="BR76" s="347"/>
      <c r="BS76" s="347"/>
      <c r="BT76" s="347"/>
      <c r="BU76" s="347"/>
      <c r="BV76" s="347"/>
      <c r="BW76" s="347"/>
      <c r="BX76" s="347"/>
      <c r="BY76" s="347"/>
      <c r="BZ76" s="347"/>
      <c r="CA76" s="347"/>
      <c r="CB76" s="347"/>
      <c r="CC76" s="347"/>
      <c r="CD76" s="347"/>
      <c r="CE76" s="347"/>
      <c r="CF76" s="347"/>
      <c r="CG76" s="347"/>
      <c r="CH76" s="347"/>
      <c r="CI76" s="347"/>
      <c r="CJ76" s="347"/>
      <c r="CK76" s="347"/>
      <c r="CL76" s="347"/>
      <c r="CM76" s="347"/>
      <c r="CN76" s="347"/>
      <c r="CO76" s="347"/>
      <c r="CP76" s="347"/>
      <c r="CQ76" s="347"/>
      <c r="CR76" s="347"/>
      <c r="CS76" s="347"/>
      <c r="CT76" s="347"/>
      <c r="CU76" s="347"/>
      <c r="CV76" s="347"/>
      <c r="CW76" s="347"/>
      <c r="CX76" s="347"/>
      <c r="CY76" s="347"/>
      <c r="CZ76" s="347"/>
      <c r="DA76" s="347"/>
      <c r="DB76" s="347"/>
      <c r="DC76" s="347"/>
      <c r="DD76" s="347"/>
      <c r="DE76" s="347"/>
      <c r="DF76" s="347"/>
      <c r="DG76" s="347"/>
      <c r="DH76" s="347"/>
      <c r="DI76" s="347"/>
      <c r="DJ76" s="347"/>
      <c r="DK76" s="347"/>
      <c r="DL76" s="347"/>
      <c r="DM76" s="347"/>
      <c r="DN76" s="347"/>
      <c r="DO76" s="347"/>
      <c r="DP76" s="347"/>
      <c r="DQ76" s="347"/>
      <c r="DR76" s="347"/>
      <c r="DS76" s="347"/>
      <c r="DT76" s="347"/>
      <c r="DU76" s="347"/>
      <c r="DV76" s="347"/>
      <c r="DW76" s="347"/>
      <c r="DX76" s="347"/>
      <c r="DY76" s="347"/>
      <c r="DZ76" s="347"/>
      <c r="EA76" s="347"/>
      <c r="EB76" s="347"/>
      <c r="EC76" s="347"/>
      <c r="ED76" s="347"/>
      <c r="EE76" s="347"/>
      <c r="EF76" s="347"/>
      <c r="EG76" s="347"/>
      <c r="EH76" s="347"/>
      <c r="EI76" s="347"/>
      <c r="EJ76" s="347"/>
      <c r="EK76" s="347"/>
      <c r="EL76" s="347"/>
      <c r="EM76" s="347"/>
      <c r="EN76" s="347"/>
      <c r="EO76" s="347"/>
      <c r="EP76" s="347"/>
      <c r="EQ76" s="347"/>
      <c r="ER76" s="347"/>
      <c r="ES76" s="347"/>
      <c r="ET76" s="347"/>
      <c r="EU76" s="347"/>
      <c r="EV76" s="347"/>
      <c r="EW76" s="347"/>
      <c r="EX76" s="347"/>
      <c r="EY76" s="347"/>
      <c r="EZ76" s="347"/>
      <c r="FA76" s="347"/>
      <c r="FB76" s="347"/>
      <c r="FC76" s="347"/>
      <c r="FD76" s="347"/>
      <c r="FE76" s="347"/>
      <c r="FF76" s="347"/>
    </row>
    <row r="77" spans="2:162" s="366" customFormat="1" x14ac:dyDescent="0.3">
      <c r="B77" s="367"/>
      <c r="C77" s="367"/>
      <c r="D77" s="367"/>
      <c r="E77" s="36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7"/>
      <c r="BI77" s="347"/>
      <c r="BJ77" s="347"/>
      <c r="BK77" s="347"/>
      <c r="BL77" s="347"/>
      <c r="BM77" s="347"/>
      <c r="BN77" s="347"/>
      <c r="BO77" s="347"/>
      <c r="BP77" s="347"/>
      <c r="BQ77" s="347"/>
      <c r="BR77" s="347"/>
      <c r="BS77" s="347"/>
      <c r="BT77" s="347"/>
      <c r="BU77" s="347"/>
      <c r="BV77" s="347"/>
      <c r="BW77" s="347"/>
      <c r="BX77" s="347"/>
      <c r="BY77" s="347"/>
      <c r="BZ77" s="347"/>
      <c r="CA77" s="347"/>
      <c r="CB77" s="347"/>
      <c r="CC77" s="347"/>
      <c r="CD77" s="347"/>
      <c r="CE77" s="347"/>
      <c r="CF77" s="347"/>
      <c r="CG77" s="347"/>
      <c r="CH77" s="347"/>
      <c r="CI77" s="347"/>
      <c r="CJ77" s="347"/>
      <c r="CK77" s="347"/>
      <c r="CL77" s="347"/>
      <c r="CM77" s="347"/>
      <c r="CN77" s="347"/>
      <c r="CO77" s="347"/>
      <c r="CP77" s="347"/>
      <c r="CQ77" s="347"/>
      <c r="CR77" s="347"/>
      <c r="CS77" s="347"/>
      <c r="CT77" s="347"/>
      <c r="CU77" s="347"/>
      <c r="CV77" s="347"/>
      <c r="CW77" s="347"/>
      <c r="CX77" s="347"/>
      <c r="CY77" s="347"/>
      <c r="CZ77" s="347"/>
      <c r="DA77" s="347"/>
      <c r="DB77" s="347"/>
      <c r="DC77" s="347"/>
      <c r="DD77" s="347"/>
      <c r="DE77" s="347"/>
      <c r="DF77" s="347"/>
      <c r="DG77" s="347"/>
      <c r="DH77" s="347"/>
      <c r="DI77" s="347"/>
      <c r="DJ77" s="347"/>
      <c r="DK77" s="347"/>
      <c r="DL77" s="347"/>
      <c r="DM77" s="347"/>
      <c r="DN77" s="347"/>
      <c r="DO77" s="347"/>
      <c r="DP77" s="347"/>
      <c r="DQ77" s="347"/>
      <c r="DR77" s="347"/>
      <c r="DS77" s="347"/>
      <c r="DT77" s="347"/>
      <c r="DU77" s="347"/>
      <c r="DV77" s="347"/>
      <c r="DW77" s="347"/>
      <c r="DX77" s="347"/>
      <c r="DY77" s="347"/>
      <c r="DZ77" s="347"/>
      <c r="EA77" s="347"/>
      <c r="EB77" s="347"/>
      <c r="EC77" s="347"/>
      <c r="ED77" s="347"/>
      <c r="EE77" s="347"/>
      <c r="EF77" s="347"/>
      <c r="EG77" s="347"/>
      <c r="EH77" s="347"/>
      <c r="EI77" s="347"/>
      <c r="EJ77" s="347"/>
      <c r="EK77" s="347"/>
      <c r="EL77" s="347"/>
      <c r="EM77" s="347"/>
      <c r="EN77" s="347"/>
      <c r="EO77" s="347"/>
      <c r="EP77" s="347"/>
      <c r="EQ77" s="347"/>
      <c r="ER77" s="347"/>
      <c r="ES77" s="347"/>
      <c r="ET77" s="347"/>
      <c r="EU77" s="347"/>
      <c r="EV77" s="347"/>
      <c r="EW77" s="347"/>
      <c r="EX77" s="347"/>
      <c r="EY77" s="347"/>
      <c r="EZ77" s="347"/>
      <c r="FA77" s="347"/>
      <c r="FB77" s="347"/>
      <c r="FC77" s="347"/>
      <c r="FD77" s="347"/>
      <c r="FE77" s="347"/>
      <c r="FF77" s="347"/>
    </row>
    <row r="78" spans="2:162" s="366" customFormat="1" x14ac:dyDescent="0.3">
      <c r="B78" s="368"/>
      <c r="C78" s="368"/>
      <c r="D78" s="368"/>
      <c r="E78" s="368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7"/>
      <c r="BG78" s="347"/>
      <c r="BH78" s="347"/>
      <c r="BI78" s="347"/>
      <c r="BJ78" s="347"/>
      <c r="BK78" s="347"/>
      <c r="BL78" s="347"/>
      <c r="BM78" s="347"/>
      <c r="BN78" s="347"/>
      <c r="BO78" s="347"/>
      <c r="BP78" s="347"/>
      <c r="BQ78" s="347"/>
      <c r="BR78" s="347"/>
      <c r="BS78" s="347"/>
      <c r="BT78" s="347"/>
      <c r="BU78" s="347"/>
      <c r="BV78" s="347"/>
      <c r="BW78" s="347"/>
      <c r="BX78" s="347"/>
      <c r="BY78" s="347"/>
      <c r="BZ78" s="347"/>
      <c r="CA78" s="347"/>
      <c r="CB78" s="347"/>
      <c r="CC78" s="347"/>
      <c r="CD78" s="347"/>
      <c r="CE78" s="347"/>
      <c r="CF78" s="347"/>
      <c r="CG78" s="347"/>
      <c r="CH78" s="347"/>
      <c r="CI78" s="347"/>
      <c r="CJ78" s="347"/>
      <c r="CK78" s="347"/>
      <c r="CL78" s="347"/>
      <c r="CM78" s="347"/>
      <c r="CN78" s="347"/>
      <c r="CO78" s="347"/>
      <c r="CP78" s="347"/>
      <c r="CQ78" s="347"/>
      <c r="CR78" s="347"/>
      <c r="CS78" s="347"/>
      <c r="CT78" s="347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347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7"/>
      <c r="DU78" s="347"/>
      <c r="DV78" s="347"/>
      <c r="DW78" s="347"/>
      <c r="DX78" s="347"/>
      <c r="DY78" s="347"/>
      <c r="DZ78" s="347"/>
      <c r="EA78" s="347"/>
      <c r="EB78" s="347"/>
      <c r="EC78" s="347"/>
      <c r="ED78" s="347"/>
      <c r="EE78" s="347"/>
      <c r="EF78" s="347"/>
      <c r="EG78" s="347"/>
      <c r="EH78" s="347"/>
      <c r="EI78" s="347"/>
      <c r="EJ78" s="347"/>
      <c r="EK78" s="347"/>
      <c r="EL78" s="347"/>
      <c r="EM78" s="347"/>
      <c r="EN78" s="347"/>
      <c r="EO78" s="347"/>
      <c r="EP78" s="347"/>
      <c r="EQ78" s="347"/>
      <c r="ER78" s="347"/>
      <c r="ES78" s="347"/>
      <c r="ET78" s="347"/>
      <c r="EU78" s="347"/>
      <c r="EV78" s="347"/>
      <c r="EW78" s="347"/>
      <c r="EX78" s="347"/>
      <c r="EY78" s="347"/>
      <c r="EZ78" s="347"/>
      <c r="FA78" s="347"/>
      <c r="FB78" s="347"/>
      <c r="FC78" s="347"/>
      <c r="FD78" s="347"/>
      <c r="FE78" s="347"/>
      <c r="FF78" s="347"/>
    </row>
    <row r="79" spans="2:162" s="366" customFormat="1" x14ac:dyDescent="0.3">
      <c r="B79" s="367"/>
      <c r="C79" s="367"/>
      <c r="D79" s="367"/>
      <c r="E79" s="36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7"/>
      <c r="BE79" s="347"/>
      <c r="BF79" s="347"/>
      <c r="BG79" s="347"/>
      <c r="BH79" s="347"/>
      <c r="BI79" s="347"/>
      <c r="BJ79" s="347"/>
      <c r="BK79" s="347"/>
      <c r="BL79" s="347"/>
      <c r="BM79" s="347"/>
      <c r="BN79" s="347"/>
      <c r="BO79" s="347"/>
      <c r="BP79" s="347"/>
      <c r="BQ79" s="347"/>
      <c r="BR79" s="347"/>
      <c r="BS79" s="347"/>
      <c r="BT79" s="347"/>
      <c r="BU79" s="347"/>
      <c r="BV79" s="347"/>
      <c r="BW79" s="347"/>
      <c r="BX79" s="347"/>
      <c r="BY79" s="347"/>
      <c r="BZ79" s="347"/>
      <c r="CA79" s="347"/>
      <c r="CB79" s="347"/>
      <c r="CC79" s="347"/>
      <c r="CD79" s="347"/>
      <c r="CE79" s="347"/>
      <c r="CF79" s="347"/>
      <c r="CG79" s="347"/>
      <c r="CH79" s="347"/>
      <c r="CI79" s="347"/>
      <c r="CJ79" s="347"/>
      <c r="CK79" s="347"/>
      <c r="CL79" s="347"/>
      <c r="CM79" s="347"/>
      <c r="CN79" s="347"/>
      <c r="CO79" s="347"/>
      <c r="CP79" s="347"/>
      <c r="CQ79" s="347"/>
      <c r="CR79" s="347"/>
      <c r="CS79" s="347"/>
      <c r="CT79" s="347"/>
      <c r="CU79" s="347"/>
      <c r="CV79" s="347"/>
      <c r="CW79" s="347"/>
      <c r="CX79" s="347"/>
      <c r="CY79" s="347"/>
      <c r="CZ79" s="347"/>
      <c r="DA79" s="347"/>
      <c r="DB79" s="347"/>
      <c r="DC79" s="347"/>
      <c r="DD79" s="347"/>
      <c r="DE79" s="347"/>
      <c r="DF79" s="347"/>
      <c r="DG79" s="347"/>
      <c r="DH79" s="347"/>
      <c r="DI79" s="347"/>
      <c r="DJ79" s="347"/>
      <c r="DK79" s="347"/>
      <c r="DL79" s="347"/>
      <c r="DM79" s="347"/>
      <c r="DN79" s="347"/>
      <c r="DO79" s="347"/>
      <c r="DP79" s="347"/>
      <c r="DQ79" s="347"/>
      <c r="DR79" s="347"/>
      <c r="DS79" s="347"/>
      <c r="DT79" s="347"/>
      <c r="DU79" s="347"/>
      <c r="DV79" s="347"/>
      <c r="DW79" s="347"/>
      <c r="DX79" s="347"/>
      <c r="DY79" s="347"/>
      <c r="DZ79" s="347"/>
      <c r="EA79" s="347"/>
      <c r="EB79" s="347"/>
      <c r="EC79" s="347"/>
      <c r="ED79" s="347"/>
      <c r="EE79" s="347"/>
      <c r="EF79" s="347"/>
      <c r="EG79" s="347"/>
      <c r="EH79" s="347"/>
      <c r="EI79" s="347"/>
      <c r="EJ79" s="347"/>
      <c r="EK79" s="347"/>
      <c r="EL79" s="347"/>
      <c r="EM79" s="347"/>
      <c r="EN79" s="347"/>
      <c r="EO79" s="347"/>
      <c r="EP79" s="347"/>
      <c r="EQ79" s="347"/>
      <c r="ER79" s="347"/>
      <c r="ES79" s="347"/>
      <c r="ET79" s="347"/>
      <c r="EU79" s="347"/>
      <c r="EV79" s="347"/>
      <c r="EW79" s="347"/>
      <c r="EX79" s="347"/>
      <c r="EY79" s="347"/>
      <c r="EZ79" s="347"/>
      <c r="FA79" s="347"/>
      <c r="FB79" s="347"/>
      <c r="FC79" s="347"/>
      <c r="FD79" s="347"/>
      <c r="FE79" s="347"/>
      <c r="FF79" s="347"/>
    </row>
    <row r="80" spans="2:162" s="366" customFormat="1" x14ac:dyDescent="0.3">
      <c r="B80" s="367"/>
      <c r="C80" s="367"/>
      <c r="D80" s="367"/>
      <c r="E80" s="36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347"/>
      <c r="BG80" s="347"/>
      <c r="BH80" s="347"/>
      <c r="BI80" s="347"/>
      <c r="BJ80" s="347"/>
      <c r="BK80" s="347"/>
      <c r="BL80" s="347"/>
      <c r="BM80" s="347"/>
      <c r="BN80" s="347"/>
      <c r="BO80" s="347"/>
      <c r="BP80" s="347"/>
      <c r="BQ80" s="347"/>
      <c r="BR80" s="347"/>
      <c r="BS80" s="347"/>
      <c r="BT80" s="347"/>
      <c r="BU80" s="347"/>
      <c r="BV80" s="347"/>
      <c r="BW80" s="347"/>
      <c r="BX80" s="347"/>
      <c r="BY80" s="347"/>
      <c r="BZ80" s="347"/>
      <c r="CA80" s="347"/>
      <c r="CB80" s="347"/>
      <c r="CC80" s="347"/>
      <c r="CD80" s="347"/>
      <c r="CE80" s="347"/>
      <c r="CF80" s="347"/>
      <c r="CG80" s="347"/>
      <c r="CH80" s="347"/>
      <c r="CI80" s="347"/>
      <c r="CJ80" s="347"/>
      <c r="CK80" s="347"/>
      <c r="CL80" s="347"/>
      <c r="CM80" s="347"/>
      <c r="CN80" s="347"/>
      <c r="CO80" s="347"/>
      <c r="CP80" s="347"/>
      <c r="CQ80" s="347"/>
      <c r="CR80" s="347"/>
      <c r="CS80" s="347"/>
      <c r="CT80" s="347"/>
      <c r="CU80" s="347"/>
      <c r="CV80" s="347"/>
      <c r="CW80" s="347"/>
      <c r="CX80" s="347"/>
      <c r="CY80" s="347"/>
      <c r="CZ80" s="347"/>
      <c r="DA80" s="347"/>
      <c r="DB80" s="347"/>
      <c r="DC80" s="347"/>
      <c r="DD80" s="347"/>
      <c r="DE80" s="347"/>
      <c r="DF80" s="347"/>
      <c r="DG80" s="347"/>
      <c r="DH80" s="347"/>
      <c r="DI80" s="347"/>
      <c r="DJ80" s="347"/>
      <c r="DK80" s="347"/>
      <c r="DL80" s="347"/>
      <c r="DM80" s="347"/>
      <c r="DN80" s="347"/>
      <c r="DO80" s="347"/>
      <c r="DP80" s="347"/>
      <c r="DQ80" s="347"/>
      <c r="DR80" s="347"/>
      <c r="DS80" s="347"/>
      <c r="DT80" s="347"/>
      <c r="DU80" s="347"/>
      <c r="DV80" s="347"/>
      <c r="DW80" s="347"/>
      <c r="DX80" s="347"/>
      <c r="DY80" s="347"/>
      <c r="DZ80" s="347"/>
      <c r="EA80" s="347"/>
      <c r="EB80" s="347"/>
      <c r="EC80" s="347"/>
      <c r="ED80" s="347"/>
      <c r="EE80" s="347"/>
      <c r="EF80" s="347"/>
      <c r="EG80" s="347"/>
      <c r="EH80" s="347"/>
      <c r="EI80" s="347"/>
      <c r="EJ80" s="347"/>
      <c r="EK80" s="347"/>
      <c r="EL80" s="347"/>
      <c r="EM80" s="347"/>
      <c r="EN80" s="347"/>
      <c r="EO80" s="347"/>
      <c r="EP80" s="347"/>
      <c r="EQ80" s="347"/>
      <c r="ER80" s="347"/>
      <c r="ES80" s="347"/>
      <c r="ET80" s="347"/>
      <c r="EU80" s="347"/>
      <c r="EV80" s="347"/>
      <c r="EW80" s="347"/>
      <c r="EX80" s="347"/>
      <c r="EY80" s="347"/>
      <c r="EZ80" s="347"/>
      <c r="FA80" s="347"/>
      <c r="FB80" s="347"/>
      <c r="FC80" s="347"/>
      <c r="FD80" s="347"/>
      <c r="FE80" s="347"/>
      <c r="FF80" s="347"/>
    </row>
    <row r="81" spans="2:162" s="366" customFormat="1" x14ac:dyDescent="0.3">
      <c r="B81" s="367"/>
      <c r="C81" s="367"/>
      <c r="D81" s="367"/>
      <c r="E81" s="36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47"/>
      <c r="BR81" s="347"/>
      <c r="BS81" s="347"/>
      <c r="BT81" s="347"/>
      <c r="BU81" s="347"/>
      <c r="BV81" s="347"/>
      <c r="BW81" s="347"/>
      <c r="BX81" s="347"/>
      <c r="BY81" s="347"/>
      <c r="BZ81" s="347"/>
      <c r="CA81" s="347"/>
      <c r="CB81" s="347"/>
      <c r="CC81" s="347"/>
      <c r="CD81" s="347"/>
      <c r="CE81" s="347"/>
      <c r="CF81" s="347"/>
      <c r="CG81" s="347"/>
      <c r="CH81" s="347"/>
      <c r="CI81" s="347"/>
      <c r="CJ81" s="347"/>
      <c r="CK81" s="347"/>
      <c r="CL81" s="347"/>
      <c r="CM81" s="347"/>
      <c r="CN81" s="347"/>
      <c r="CO81" s="347"/>
      <c r="CP81" s="347"/>
      <c r="CQ81" s="347"/>
      <c r="CR81" s="347"/>
      <c r="CS81" s="347"/>
      <c r="CT81" s="347"/>
      <c r="CU81" s="347"/>
      <c r="CV81" s="347"/>
      <c r="CW81" s="347"/>
      <c r="CX81" s="347"/>
      <c r="CY81" s="347"/>
      <c r="CZ81" s="347"/>
      <c r="DA81" s="347"/>
      <c r="DB81" s="347"/>
      <c r="DC81" s="347"/>
      <c r="DD81" s="347"/>
      <c r="DE81" s="347"/>
      <c r="DF81" s="347"/>
      <c r="DG81" s="347"/>
      <c r="DH81" s="347"/>
      <c r="DI81" s="347"/>
      <c r="DJ81" s="347"/>
      <c r="DK81" s="347"/>
      <c r="DL81" s="347"/>
      <c r="DM81" s="347"/>
      <c r="DN81" s="347"/>
      <c r="DO81" s="347"/>
      <c r="DP81" s="347"/>
      <c r="DQ81" s="347"/>
      <c r="DR81" s="347"/>
      <c r="DS81" s="347"/>
      <c r="DT81" s="347"/>
      <c r="DU81" s="347"/>
      <c r="DV81" s="347"/>
      <c r="DW81" s="347"/>
      <c r="DX81" s="347"/>
      <c r="DY81" s="347"/>
      <c r="DZ81" s="347"/>
      <c r="EA81" s="347"/>
      <c r="EB81" s="347"/>
      <c r="EC81" s="347"/>
      <c r="ED81" s="347"/>
      <c r="EE81" s="347"/>
      <c r="EF81" s="347"/>
      <c r="EG81" s="347"/>
      <c r="EH81" s="347"/>
      <c r="EI81" s="347"/>
      <c r="EJ81" s="347"/>
      <c r="EK81" s="347"/>
      <c r="EL81" s="347"/>
      <c r="EM81" s="347"/>
      <c r="EN81" s="347"/>
      <c r="EO81" s="347"/>
      <c r="EP81" s="347"/>
      <c r="EQ81" s="347"/>
      <c r="ER81" s="347"/>
      <c r="ES81" s="347"/>
      <c r="ET81" s="347"/>
      <c r="EU81" s="347"/>
      <c r="EV81" s="347"/>
      <c r="EW81" s="347"/>
      <c r="EX81" s="347"/>
      <c r="EY81" s="347"/>
      <c r="EZ81" s="347"/>
      <c r="FA81" s="347"/>
      <c r="FB81" s="347"/>
      <c r="FC81" s="347"/>
      <c r="FD81" s="347"/>
      <c r="FE81" s="347"/>
      <c r="FF81" s="347"/>
    </row>
    <row r="82" spans="2:162" s="366" customFormat="1" x14ac:dyDescent="0.3">
      <c r="B82" s="368"/>
      <c r="C82" s="368"/>
      <c r="D82" s="368"/>
      <c r="E82" s="368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47"/>
      <c r="BE82" s="347"/>
      <c r="BF82" s="347"/>
      <c r="BG82" s="347"/>
      <c r="BH82" s="347"/>
      <c r="BI82" s="347"/>
      <c r="BJ82" s="347"/>
      <c r="BK82" s="347"/>
      <c r="BL82" s="347"/>
      <c r="BM82" s="347"/>
      <c r="BN82" s="347"/>
      <c r="BO82" s="347"/>
      <c r="BP82" s="347"/>
      <c r="BQ82" s="347"/>
      <c r="BR82" s="347"/>
      <c r="BS82" s="347"/>
      <c r="BT82" s="347"/>
      <c r="BU82" s="347"/>
      <c r="BV82" s="347"/>
      <c r="BW82" s="347"/>
      <c r="BX82" s="347"/>
      <c r="BY82" s="347"/>
      <c r="BZ82" s="347"/>
      <c r="CA82" s="347"/>
      <c r="CB82" s="347"/>
      <c r="CC82" s="347"/>
      <c r="CD82" s="347"/>
      <c r="CE82" s="347"/>
      <c r="CF82" s="347"/>
      <c r="CG82" s="347"/>
      <c r="CH82" s="347"/>
      <c r="CI82" s="347"/>
      <c r="CJ82" s="347"/>
      <c r="CK82" s="347"/>
      <c r="CL82" s="347"/>
      <c r="CM82" s="347"/>
      <c r="CN82" s="347"/>
      <c r="CO82" s="347"/>
      <c r="CP82" s="347"/>
      <c r="CQ82" s="347"/>
      <c r="CR82" s="347"/>
      <c r="CS82" s="347"/>
      <c r="CT82" s="347"/>
      <c r="CU82" s="347"/>
      <c r="CV82" s="347"/>
      <c r="CW82" s="347"/>
      <c r="CX82" s="347"/>
      <c r="CY82" s="347"/>
      <c r="CZ82" s="347"/>
      <c r="DA82" s="347"/>
      <c r="DB82" s="347"/>
      <c r="DC82" s="347"/>
      <c r="DD82" s="347"/>
      <c r="DE82" s="347"/>
      <c r="DF82" s="347"/>
      <c r="DG82" s="347"/>
      <c r="DH82" s="347"/>
      <c r="DI82" s="347"/>
      <c r="DJ82" s="347"/>
      <c r="DK82" s="347"/>
      <c r="DL82" s="347"/>
      <c r="DM82" s="347"/>
      <c r="DN82" s="347"/>
      <c r="DO82" s="347"/>
      <c r="DP82" s="347"/>
      <c r="DQ82" s="347"/>
      <c r="DR82" s="347"/>
      <c r="DS82" s="347"/>
      <c r="DT82" s="347"/>
      <c r="DU82" s="347"/>
      <c r="DV82" s="347"/>
      <c r="DW82" s="347"/>
      <c r="DX82" s="347"/>
      <c r="DY82" s="347"/>
      <c r="DZ82" s="347"/>
      <c r="EA82" s="347"/>
      <c r="EB82" s="347"/>
      <c r="EC82" s="347"/>
      <c r="ED82" s="347"/>
      <c r="EE82" s="347"/>
      <c r="EF82" s="347"/>
      <c r="EG82" s="347"/>
      <c r="EH82" s="347"/>
      <c r="EI82" s="347"/>
      <c r="EJ82" s="347"/>
      <c r="EK82" s="347"/>
      <c r="EL82" s="347"/>
      <c r="EM82" s="347"/>
      <c r="EN82" s="347"/>
      <c r="EO82" s="347"/>
      <c r="EP82" s="347"/>
      <c r="EQ82" s="347"/>
      <c r="ER82" s="347"/>
      <c r="ES82" s="347"/>
      <c r="ET82" s="347"/>
      <c r="EU82" s="347"/>
      <c r="EV82" s="347"/>
      <c r="EW82" s="347"/>
      <c r="EX82" s="347"/>
      <c r="EY82" s="347"/>
      <c r="EZ82" s="347"/>
      <c r="FA82" s="347"/>
      <c r="FB82" s="347"/>
      <c r="FC82" s="347"/>
      <c r="FD82" s="347"/>
      <c r="FE82" s="347"/>
      <c r="FF82" s="347"/>
    </row>
    <row r="83" spans="2:162" s="366" customFormat="1" x14ac:dyDescent="0.3">
      <c r="B83" s="368"/>
      <c r="C83" s="368"/>
      <c r="D83" s="368"/>
      <c r="E83" s="368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  <c r="BD83" s="347"/>
      <c r="BE83" s="347"/>
      <c r="BF83" s="347"/>
      <c r="BG83" s="347"/>
      <c r="BH83" s="347"/>
      <c r="BI83" s="347"/>
      <c r="BJ83" s="347"/>
      <c r="BK83" s="347"/>
      <c r="BL83" s="347"/>
      <c r="BM83" s="347"/>
      <c r="BN83" s="347"/>
      <c r="BO83" s="347"/>
      <c r="BP83" s="347"/>
      <c r="BQ83" s="347"/>
      <c r="BR83" s="347"/>
      <c r="BS83" s="347"/>
      <c r="BT83" s="347"/>
      <c r="BU83" s="347"/>
      <c r="BV83" s="347"/>
      <c r="BW83" s="347"/>
      <c r="BX83" s="347"/>
      <c r="BY83" s="347"/>
      <c r="BZ83" s="347"/>
      <c r="CA83" s="347"/>
      <c r="CB83" s="347"/>
      <c r="CC83" s="347"/>
      <c r="CD83" s="347"/>
      <c r="CE83" s="347"/>
      <c r="CF83" s="347"/>
      <c r="CG83" s="347"/>
      <c r="CH83" s="347"/>
      <c r="CI83" s="347"/>
      <c r="CJ83" s="347"/>
      <c r="CK83" s="347"/>
      <c r="CL83" s="347"/>
      <c r="CM83" s="347"/>
      <c r="CN83" s="347"/>
      <c r="CO83" s="347"/>
      <c r="CP83" s="347"/>
      <c r="CQ83" s="347"/>
      <c r="CR83" s="347"/>
      <c r="CS83" s="347"/>
      <c r="CT83" s="347"/>
      <c r="CU83" s="347"/>
      <c r="CV83" s="347"/>
      <c r="CW83" s="347"/>
      <c r="CX83" s="347"/>
      <c r="CY83" s="347"/>
      <c r="CZ83" s="347"/>
      <c r="DA83" s="347"/>
      <c r="DB83" s="347"/>
      <c r="DC83" s="347"/>
      <c r="DD83" s="347"/>
      <c r="DE83" s="347"/>
      <c r="DF83" s="347"/>
      <c r="DG83" s="347"/>
      <c r="DH83" s="347"/>
      <c r="DI83" s="347"/>
      <c r="DJ83" s="347"/>
      <c r="DK83" s="347"/>
      <c r="DL83" s="347"/>
      <c r="DM83" s="347"/>
      <c r="DN83" s="347"/>
      <c r="DO83" s="347"/>
      <c r="DP83" s="347"/>
      <c r="DQ83" s="347"/>
      <c r="DR83" s="347"/>
      <c r="DS83" s="347"/>
      <c r="DT83" s="347"/>
      <c r="DU83" s="347"/>
      <c r="DV83" s="347"/>
      <c r="DW83" s="347"/>
      <c r="DX83" s="347"/>
      <c r="DY83" s="347"/>
      <c r="DZ83" s="347"/>
      <c r="EA83" s="347"/>
      <c r="EB83" s="347"/>
      <c r="EC83" s="347"/>
      <c r="ED83" s="347"/>
      <c r="EE83" s="347"/>
      <c r="EF83" s="347"/>
      <c r="EG83" s="347"/>
      <c r="EH83" s="347"/>
      <c r="EI83" s="347"/>
      <c r="EJ83" s="347"/>
      <c r="EK83" s="347"/>
      <c r="EL83" s="347"/>
      <c r="EM83" s="347"/>
      <c r="EN83" s="347"/>
      <c r="EO83" s="347"/>
      <c r="EP83" s="347"/>
      <c r="EQ83" s="347"/>
      <c r="ER83" s="347"/>
      <c r="ES83" s="347"/>
      <c r="ET83" s="347"/>
      <c r="EU83" s="347"/>
      <c r="EV83" s="347"/>
      <c r="EW83" s="347"/>
      <c r="EX83" s="347"/>
      <c r="EY83" s="347"/>
      <c r="EZ83" s="347"/>
      <c r="FA83" s="347"/>
      <c r="FB83" s="347"/>
      <c r="FC83" s="347"/>
      <c r="FD83" s="347"/>
      <c r="FE83" s="347"/>
      <c r="FF83" s="347"/>
    </row>
    <row r="84" spans="2:162" s="366" customFormat="1" x14ac:dyDescent="0.3">
      <c r="B84" s="367"/>
      <c r="C84" s="367"/>
      <c r="D84" s="367"/>
      <c r="E84" s="36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7"/>
      <c r="BE84" s="347"/>
      <c r="BF84" s="347"/>
      <c r="BG84" s="347"/>
      <c r="BH84" s="347"/>
      <c r="BI84" s="347"/>
      <c r="BJ84" s="347"/>
      <c r="BK84" s="347"/>
      <c r="BL84" s="347"/>
      <c r="BM84" s="347"/>
      <c r="BN84" s="347"/>
      <c r="BO84" s="347"/>
      <c r="BP84" s="347"/>
      <c r="BQ84" s="347"/>
      <c r="BR84" s="347"/>
      <c r="BS84" s="347"/>
      <c r="BT84" s="347"/>
      <c r="BU84" s="347"/>
      <c r="BV84" s="347"/>
      <c r="BW84" s="347"/>
      <c r="BX84" s="347"/>
      <c r="BY84" s="347"/>
      <c r="BZ84" s="347"/>
      <c r="CA84" s="347"/>
      <c r="CB84" s="347"/>
      <c r="CC84" s="347"/>
      <c r="CD84" s="347"/>
      <c r="CE84" s="347"/>
      <c r="CF84" s="347"/>
      <c r="CG84" s="347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7"/>
      <c r="DU84" s="347"/>
      <c r="DV84" s="347"/>
      <c r="DW84" s="347"/>
      <c r="DX84" s="347"/>
      <c r="DY84" s="347"/>
      <c r="DZ84" s="347"/>
      <c r="EA84" s="347"/>
      <c r="EB84" s="347"/>
      <c r="EC84" s="347"/>
      <c r="ED84" s="347"/>
      <c r="EE84" s="347"/>
      <c r="EF84" s="347"/>
      <c r="EG84" s="347"/>
      <c r="EH84" s="347"/>
      <c r="EI84" s="347"/>
      <c r="EJ84" s="347"/>
      <c r="EK84" s="347"/>
      <c r="EL84" s="347"/>
      <c r="EM84" s="347"/>
      <c r="EN84" s="347"/>
      <c r="EO84" s="347"/>
      <c r="EP84" s="347"/>
      <c r="EQ84" s="347"/>
      <c r="ER84" s="347"/>
      <c r="ES84" s="347"/>
      <c r="ET84" s="347"/>
      <c r="EU84" s="347"/>
      <c r="EV84" s="347"/>
      <c r="EW84" s="347"/>
      <c r="EX84" s="347"/>
      <c r="EY84" s="347"/>
      <c r="EZ84" s="347"/>
      <c r="FA84" s="347"/>
      <c r="FB84" s="347"/>
      <c r="FC84" s="347"/>
      <c r="FD84" s="347"/>
      <c r="FE84" s="347"/>
      <c r="FF84" s="347"/>
    </row>
    <row r="85" spans="2:162" s="366" customFormat="1" x14ac:dyDescent="0.3">
      <c r="B85" s="367"/>
      <c r="C85" s="367"/>
      <c r="D85" s="367"/>
      <c r="E85" s="36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7"/>
      <c r="BG85" s="347"/>
      <c r="BH85" s="347"/>
      <c r="BI85" s="347"/>
      <c r="BJ85" s="347"/>
      <c r="BK85" s="347"/>
      <c r="BL85" s="347"/>
      <c r="BM85" s="347"/>
      <c r="BN85" s="347"/>
      <c r="BO85" s="347"/>
      <c r="BP85" s="347"/>
      <c r="BQ85" s="347"/>
      <c r="BR85" s="347"/>
      <c r="BS85" s="347"/>
      <c r="BT85" s="347"/>
      <c r="BU85" s="347"/>
      <c r="BV85" s="347"/>
      <c r="BW85" s="347"/>
      <c r="BX85" s="347"/>
      <c r="BY85" s="347"/>
      <c r="BZ85" s="347"/>
      <c r="CA85" s="347"/>
      <c r="CB85" s="347"/>
      <c r="CC85" s="347"/>
      <c r="CD85" s="347"/>
      <c r="CE85" s="347"/>
      <c r="CF85" s="347"/>
      <c r="CG85" s="347"/>
      <c r="CH85" s="347"/>
      <c r="CI85" s="347"/>
      <c r="CJ85" s="347"/>
      <c r="CK85" s="347"/>
      <c r="CL85" s="347"/>
      <c r="CM85" s="347"/>
      <c r="CN85" s="347"/>
      <c r="CO85" s="347"/>
      <c r="CP85" s="347"/>
      <c r="CQ85" s="347"/>
      <c r="CR85" s="347"/>
      <c r="CS85" s="347"/>
      <c r="CT85" s="347"/>
      <c r="CU85" s="347"/>
      <c r="CV85" s="347"/>
      <c r="CW85" s="347"/>
      <c r="CX85" s="347"/>
      <c r="CY85" s="347"/>
      <c r="CZ85" s="347"/>
      <c r="DA85" s="347"/>
      <c r="DB85" s="347"/>
      <c r="DC85" s="347"/>
      <c r="DD85" s="347"/>
      <c r="DE85" s="347"/>
      <c r="DF85" s="347"/>
      <c r="DG85" s="347"/>
      <c r="DH85" s="347"/>
      <c r="DI85" s="347"/>
      <c r="DJ85" s="347"/>
      <c r="DK85" s="347"/>
      <c r="DL85" s="347"/>
      <c r="DM85" s="347"/>
      <c r="DN85" s="347"/>
      <c r="DO85" s="347"/>
      <c r="DP85" s="347"/>
      <c r="DQ85" s="347"/>
      <c r="DR85" s="347"/>
      <c r="DS85" s="347"/>
      <c r="DT85" s="347"/>
      <c r="DU85" s="347"/>
      <c r="DV85" s="347"/>
      <c r="DW85" s="347"/>
      <c r="DX85" s="347"/>
      <c r="DY85" s="347"/>
      <c r="DZ85" s="347"/>
      <c r="EA85" s="347"/>
      <c r="EB85" s="347"/>
      <c r="EC85" s="347"/>
      <c r="ED85" s="347"/>
      <c r="EE85" s="347"/>
      <c r="EF85" s="347"/>
      <c r="EG85" s="347"/>
      <c r="EH85" s="347"/>
      <c r="EI85" s="347"/>
      <c r="EJ85" s="347"/>
      <c r="EK85" s="347"/>
      <c r="EL85" s="347"/>
      <c r="EM85" s="347"/>
      <c r="EN85" s="347"/>
      <c r="EO85" s="347"/>
      <c r="EP85" s="347"/>
      <c r="EQ85" s="347"/>
      <c r="ER85" s="347"/>
      <c r="ES85" s="347"/>
      <c r="ET85" s="347"/>
      <c r="EU85" s="347"/>
      <c r="EV85" s="347"/>
      <c r="EW85" s="347"/>
      <c r="EX85" s="347"/>
      <c r="EY85" s="347"/>
      <c r="EZ85" s="347"/>
      <c r="FA85" s="347"/>
      <c r="FB85" s="347"/>
      <c r="FC85" s="347"/>
      <c r="FD85" s="347"/>
      <c r="FE85" s="347"/>
      <c r="FF85" s="347"/>
    </row>
    <row r="86" spans="2:162" s="366" customFormat="1" x14ac:dyDescent="0.3">
      <c r="B86" s="367"/>
      <c r="C86" s="367"/>
      <c r="D86" s="367"/>
      <c r="E86" s="36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47"/>
      <c r="BE86" s="347"/>
      <c r="BF86" s="347"/>
      <c r="BG86" s="347"/>
      <c r="BH86" s="347"/>
      <c r="BI86" s="347"/>
      <c r="BJ86" s="347"/>
      <c r="BK86" s="347"/>
      <c r="BL86" s="347"/>
      <c r="BM86" s="347"/>
      <c r="BN86" s="347"/>
      <c r="BO86" s="347"/>
      <c r="BP86" s="347"/>
      <c r="BQ86" s="347"/>
      <c r="BR86" s="347"/>
      <c r="BS86" s="347"/>
      <c r="BT86" s="347"/>
      <c r="BU86" s="347"/>
      <c r="BV86" s="347"/>
      <c r="BW86" s="347"/>
      <c r="BX86" s="347"/>
      <c r="BY86" s="347"/>
      <c r="BZ86" s="347"/>
      <c r="CA86" s="347"/>
      <c r="CB86" s="347"/>
      <c r="CC86" s="347"/>
      <c r="CD86" s="347"/>
      <c r="CE86" s="347"/>
      <c r="CF86" s="347"/>
      <c r="CG86" s="347"/>
      <c r="CH86" s="347"/>
      <c r="CI86" s="347"/>
      <c r="CJ86" s="347"/>
      <c r="CK86" s="347"/>
      <c r="CL86" s="347"/>
      <c r="CM86" s="347"/>
      <c r="CN86" s="347"/>
      <c r="CO86" s="347"/>
      <c r="CP86" s="347"/>
      <c r="CQ86" s="347"/>
      <c r="CR86" s="347"/>
      <c r="CS86" s="347"/>
      <c r="CT86" s="347"/>
      <c r="CU86" s="347"/>
      <c r="CV86" s="347"/>
      <c r="CW86" s="347"/>
      <c r="CX86" s="347"/>
      <c r="CY86" s="347"/>
      <c r="CZ86" s="347"/>
      <c r="DA86" s="347"/>
      <c r="DB86" s="347"/>
      <c r="DC86" s="347"/>
      <c r="DD86" s="347"/>
      <c r="DE86" s="347"/>
      <c r="DF86" s="347"/>
      <c r="DG86" s="347"/>
      <c r="DH86" s="347"/>
      <c r="DI86" s="347"/>
      <c r="DJ86" s="347"/>
      <c r="DK86" s="347"/>
      <c r="DL86" s="347"/>
      <c r="DM86" s="347"/>
      <c r="DN86" s="347"/>
      <c r="DO86" s="347"/>
      <c r="DP86" s="347"/>
      <c r="DQ86" s="347"/>
      <c r="DR86" s="347"/>
      <c r="DS86" s="347"/>
      <c r="DT86" s="347"/>
      <c r="DU86" s="347"/>
      <c r="DV86" s="347"/>
      <c r="DW86" s="347"/>
      <c r="DX86" s="347"/>
      <c r="DY86" s="347"/>
      <c r="DZ86" s="347"/>
      <c r="EA86" s="347"/>
      <c r="EB86" s="347"/>
      <c r="EC86" s="347"/>
      <c r="ED86" s="347"/>
      <c r="EE86" s="347"/>
      <c r="EF86" s="347"/>
      <c r="EG86" s="347"/>
      <c r="EH86" s="347"/>
      <c r="EI86" s="347"/>
      <c r="EJ86" s="347"/>
      <c r="EK86" s="347"/>
      <c r="EL86" s="347"/>
      <c r="EM86" s="347"/>
      <c r="EN86" s="347"/>
      <c r="EO86" s="347"/>
      <c r="EP86" s="347"/>
      <c r="EQ86" s="347"/>
      <c r="ER86" s="347"/>
      <c r="ES86" s="347"/>
      <c r="ET86" s="347"/>
      <c r="EU86" s="347"/>
      <c r="EV86" s="347"/>
      <c r="EW86" s="347"/>
      <c r="EX86" s="347"/>
      <c r="EY86" s="347"/>
      <c r="EZ86" s="347"/>
      <c r="FA86" s="347"/>
      <c r="FB86" s="347"/>
      <c r="FC86" s="347"/>
      <c r="FD86" s="347"/>
      <c r="FE86" s="347"/>
      <c r="FF86" s="347"/>
    </row>
    <row r="87" spans="2:162" s="366" customFormat="1" x14ac:dyDescent="0.3">
      <c r="B87" s="367"/>
      <c r="C87" s="367"/>
      <c r="D87" s="367"/>
      <c r="E87" s="36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47"/>
      <c r="BE87" s="347"/>
      <c r="BF87" s="347"/>
      <c r="BG87" s="347"/>
      <c r="BH87" s="347"/>
      <c r="BI87" s="347"/>
      <c r="BJ87" s="347"/>
      <c r="BK87" s="347"/>
      <c r="BL87" s="347"/>
      <c r="BM87" s="347"/>
      <c r="BN87" s="347"/>
      <c r="BO87" s="347"/>
      <c r="BP87" s="347"/>
      <c r="BQ87" s="347"/>
      <c r="BR87" s="347"/>
      <c r="BS87" s="347"/>
      <c r="BT87" s="347"/>
      <c r="BU87" s="347"/>
      <c r="BV87" s="347"/>
      <c r="BW87" s="347"/>
      <c r="BX87" s="347"/>
      <c r="BY87" s="347"/>
      <c r="BZ87" s="347"/>
      <c r="CA87" s="347"/>
      <c r="CB87" s="347"/>
      <c r="CC87" s="347"/>
      <c r="CD87" s="347"/>
      <c r="CE87" s="347"/>
      <c r="CF87" s="347"/>
      <c r="CG87" s="347"/>
      <c r="CH87" s="347"/>
      <c r="CI87" s="347"/>
      <c r="CJ87" s="347"/>
      <c r="CK87" s="347"/>
      <c r="CL87" s="347"/>
      <c r="CM87" s="347"/>
      <c r="CN87" s="347"/>
      <c r="CO87" s="347"/>
      <c r="CP87" s="347"/>
      <c r="CQ87" s="347"/>
      <c r="CR87" s="347"/>
      <c r="CS87" s="347"/>
      <c r="CT87" s="347"/>
      <c r="CU87" s="347"/>
      <c r="CV87" s="347"/>
      <c r="CW87" s="347"/>
      <c r="CX87" s="347"/>
      <c r="CY87" s="347"/>
      <c r="CZ87" s="347"/>
      <c r="DA87" s="347"/>
      <c r="DB87" s="347"/>
      <c r="DC87" s="347"/>
      <c r="DD87" s="347"/>
      <c r="DE87" s="347"/>
      <c r="DF87" s="347"/>
      <c r="DG87" s="347"/>
      <c r="DH87" s="347"/>
      <c r="DI87" s="347"/>
      <c r="DJ87" s="347"/>
      <c r="DK87" s="347"/>
      <c r="DL87" s="347"/>
      <c r="DM87" s="347"/>
      <c r="DN87" s="347"/>
      <c r="DO87" s="347"/>
      <c r="DP87" s="347"/>
      <c r="DQ87" s="347"/>
      <c r="DR87" s="347"/>
      <c r="DS87" s="347"/>
      <c r="DT87" s="347"/>
      <c r="DU87" s="347"/>
      <c r="DV87" s="347"/>
      <c r="DW87" s="347"/>
      <c r="DX87" s="347"/>
      <c r="DY87" s="347"/>
      <c r="DZ87" s="347"/>
      <c r="EA87" s="347"/>
      <c r="EB87" s="347"/>
      <c r="EC87" s="347"/>
      <c r="ED87" s="347"/>
      <c r="EE87" s="347"/>
      <c r="EF87" s="347"/>
      <c r="EG87" s="347"/>
      <c r="EH87" s="347"/>
      <c r="EI87" s="347"/>
      <c r="EJ87" s="347"/>
      <c r="EK87" s="347"/>
      <c r="EL87" s="347"/>
      <c r="EM87" s="347"/>
      <c r="EN87" s="347"/>
      <c r="EO87" s="347"/>
      <c r="EP87" s="347"/>
      <c r="EQ87" s="347"/>
      <c r="ER87" s="347"/>
      <c r="ES87" s="347"/>
      <c r="ET87" s="347"/>
      <c r="EU87" s="347"/>
      <c r="EV87" s="347"/>
      <c r="EW87" s="347"/>
      <c r="EX87" s="347"/>
      <c r="EY87" s="347"/>
      <c r="EZ87" s="347"/>
      <c r="FA87" s="347"/>
      <c r="FB87" s="347"/>
      <c r="FC87" s="347"/>
      <c r="FD87" s="347"/>
      <c r="FE87" s="347"/>
      <c r="FF87" s="347"/>
    </row>
    <row r="88" spans="2:162" s="366" customFormat="1" x14ac:dyDescent="0.3">
      <c r="B88" s="367"/>
      <c r="C88" s="367"/>
      <c r="D88" s="367"/>
      <c r="E88" s="36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47"/>
      <c r="BJ88" s="347"/>
      <c r="BK88" s="347"/>
      <c r="BL88" s="347"/>
      <c r="BM88" s="347"/>
      <c r="BN88" s="347"/>
      <c r="BO88" s="347"/>
      <c r="BP88" s="347"/>
      <c r="BQ88" s="347"/>
      <c r="BR88" s="347"/>
      <c r="BS88" s="347"/>
      <c r="BT88" s="347"/>
      <c r="BU88" s="347"/>
      <c r="BV88" s="347"/>
      <c r="BW88" s="347"/>
      <c r="BX88" s="347"/>
      <c r="BY88" s="347"/>
      <c r="BZ88" s="347"/>
      <c r="CA88" s="347"/>
      <c r="CB88" s="347"/>
      <c r="CC88" s="347"/>
      <c r="CD88" s="347"/>
      <c r="CE88" s="347"/>
      <c r="CF88" s="347"/>
      <c r="CG88" s="347"/>
      <c r="CH88" s="347"/>
      <c r="CI88" s="347"/>
      <c r="CJ88" s="347"/>
      <c r="CK88" s="347"/>
      <c r="CL88" s="347"/>
      <c r="CM88" s="347"/>
      <c r="CN88" s="347"/>
      <c r="CO88" s="347"/>
      <c r="CP88" s="347"/>
      <c r="CQ88" s="347"/>
      <c r="CR88" s="347"/>
      <c r="CS88" s="347"/>
      <c r="CT88" s="347"/>
      <c r="CU88" s="347"/>
      <c r="CV88" s="347"/>
      <c r="CW88" s="347"/>
      <c r="CX88" s="347"/>
      <c r="CY88" s="347"/>
      <c r="CZ88" s="347"/>
      <c r="DA88" s="347"/>
      <c r="DB88" s="347"/>
      <c r="DC88" s="347"/>
      <c r="DD88" s="347"/>
      <c r="DE88" s="347"/>
      <c r="DF88" s="347"/>
      <c r="DG88" s="347"/>
      <c r="DH88" s="347"/>
      <c r="DI88" s="347"/>
      <c r="DJ88" s="347"/>
      <c r="DK88" s="347"/>
      <c r="DL88" s="347"/>
      <c r="DM88" s="347"/>
      <c r="DN88" s="347"/>
      <c r="DO88" s="347"/>
      <c r="DP88" s="347"/>
      <c r="DQ88" s="347"/>
      <c r="DR88" s="347"/>
      <c r="DS88" s="347"/>
      <c r="DT88" s="347"/>
      <c r="DU88" s="347"/>
      <c r="DV88" s="347"/>
      <c r="DW88" s="347"/>
      <c r="DX88" s="347"/>
      <c r="DY88" s="347"/>
      <c r="DZ88" s="347"/>
      <c r="EA88" s="347"/>
      <c r="EB88" s="347"/>
      <c r="EC88" s="347"/>
      <c r="ED88" s="347"/>
      <c r="EE88" s="347"/>
      <c r="EF88" s="347"/>
      <c r="EG88" s="347"/>
      <c r="EH88" s="347"/>
      <c r="EI88" s="347"/>
      <c r="EJ88" s="347"/>
      <c r="EK88" s="347"/>
      <c r="EL88" s="347"/>
      <c r="EM88" s="347"/>
      <c r="EN88" s="347"/>
      <c r="EO88" s="347"/>
      <c r="EP88" s="347"/>
      <c r="EQ88" s="347"/>
      <c r="ER88" s="347"/>
      <c r="ES88" s="347"/>
      <c r="ET88" s="347"/>
      <c r="EU88" s="347"/>
      <c r="EV88" s="347"/>
      <c r="EW88" s="347"/>
      <c r="EX88" s="347"/>
      <c r="EY88" s="347"/>
      <c r="EZ88" s="347"/>
      <c r="FA88" s="347"/>
      <c r="FB88" s="347"/>
      <c r="FC88" s="347"/>
      <c r="FD88" s="347"/>
      <c r="FE88" s="347"/>
      <c r="FF88" s="347"/>
    </row>
    <row r="89" spans="2:162" s="366" customFormat="1" x14ac:dyDescent="0.3">
      <c r="B89" s="367"/>
      <c r="C89" s="367"/>
      <c r="D89" s="367"/>
      <c r="E89" s="36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47"/>
      <c r="BJ89" s="347"/>
      <c r="BK89" s="347"/>
      <c r="BL89" s="347"/>
      <c r="BM89" s="347"/>
      <c r="BN89" s="347"/>
      <c r="BO89" s="347"/>
      <c r="BP89" s="347"/>
      <c r="BQ89" s="347"/>
      <c r="BR89" s="347"/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7"/>
      <c r="CD89" s="347"/>
      <c r="CE89" s="347"/>
      <c r="CF89" s="347"/>
      <c r="CG89" s="347"/>
      <c r="CH89" s="347"/>
      <c r="CI89" s="347"/>
      <c r="CJ89" s="347"/>
      <c r="CK89" s="347"/>
      <c r="CL89" s="347"/>
      <c r="CM89" s="347"/>
      <c r="CN89" s="347"/>
      <c r="CO89" s="347"/>
      <c r="CP89" s="347"/>
      <c r="CQ89" s="347"/>
      <c r="CR89" s="347"/>
      <c r="CS89" s="347"/>
      <c r="CT89" s="347"/>
      <c r="CU89" s="347"/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347"/>
      <c r="DG89" s="347"/>
      <c r="DH89" s="347"/>
      <c r="DI89" s="347"/>
      <c r="DJ89" s="347"/>
      <c r="DK89" s="347"/>
      <c r="DL89" s="347"/>
      <c r="DM89" s="347"/>
      <c r="DN89" s="347"/>
      <c r="DO89" s="347"/>
      <c r="DP89" s="347"/>
      <c r="DQ89" s="347"/>
      <c r="DR89" s="347"/>
      <c r="DS89" s="347"/>
      <c r="DT89" s="347"/>
      <c r="DU89" s="347"/>
      <c r="DV89" s="347"/>
      <c r="DW89" s="347"/>
      <c r="DX89" s="347"/>
      <c r="DY89" s="347"/>
      <c r="DZ89" s="347"/>
      <c r="EA89" s="347"/>
      <c r="EB89" s="347"/>
      <c r="EC89" s="347"/>
      <c r="ED89" s="347"/>
      <c r="EE89" s="347"/>
      <c r="EF89" s="347"/>
      <c r="EG89" s="347"/>
      <c r="EH89" s="347"/>
      <c r="EI89" s="347"/>
      <c r="EJ89" s="347"/>
      <c r="EK89" s="347"/>
      <c r="EL89" s="347"/>
      <c r="EM89" s="347"/>
      <c r="EN89" s="347"/>
      <c r="EO89" s="347"/>
      <c r="EP89" s="347"/>
      <c r="EQ89" s="347"/>
      <c r="ER89" s="347"/>
      <c r="ES89" s="347"/>
      <c r="ET89" s="347"/>
      <c r="EU89" s="347"/>
      <c r="EV89" s="347"/>
      <c r="EW89" s="347"/>
      <c r="EX89" s="347"/>
      <c r="EY89" s="347"/>
      <c r="EZ89" s="347"/>
      <c r="FA89" s="347"/>
      <c r="FB89" s="347"/>
      <c r="FC89" s="347"/>
      <c r="FD89" s="347"/>
      <c r="FE89" s="347"/>
      <c r="FF89" s="347"/>
    </row>
    <row r="90" spans="2:162" s="366" customFormat="1" x14ac:dyDescent="0.3">
      <c r="B90" s="367"/>
      <c r="C90" s="367"/>
      <c r="D90" s="367"/>
      <c r="E90" s="36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7"/>
      <c r="BE90" s="347"/>
      <c r="BF90" s="347"/>
      <c r="BG90" s="347"/>
      <c r="BH90" s="347"/>
      <c r="BI90" s="347"/>
      <c r="BJ90" s="347"/>
      <c r="BK90" s="347"/>
      <c r="BL90" s="347"/>
      <c r="BM90" s="347"/>
      <c r="BN90" s="347"/>
      <c r="BO90" s="347"/>
      <c r="BP90" s="347"/>
      <c r="BQ90" s="347"/>
      <c r="BR90" s="347"/>
      <c r="BS90" s="347"/>
      <c r="BT90" s="347"/>
      <c r="BU90" s="347"/>
      <c r="BV90" s="347"/>
      <c r="BW90" s="347"/>
      <c r="BX90" s="347"/>
      <c r="BY90" s="347"/>
      <c r="BZ90" s="347"/>
      <c r="CA90" s="347"/>
      <c r="CB90" s="347"/>
      <c r="CC90" s="347"/>
      <c r="CD90" s="347"/>
      <c r="CE90" s="347"/>
      <c r="CF90" s="347"/>
      <c r="CG90" s="347"/>
      <c r="CH90" s="347"/>
      <c r="CI90" s="347"/>
      <c r="CJ90" s="347"/>
      <c r="CK90" s="347"/>
      <c r="CL90" s="347"/>
      <c r="CM90" s="347"/>
      <c r="CN90" s="347"/>
      <c r="CO90" s="347"/>
      <c r="CP90" s="347"/>
      <c r="CQ90" s="347"/>
      <c r="CR90" s="347"/>
      <c r="CS90" s="347"/>
      <c r="CT90" s="347"/>
      <c r="CU90" s="347"/>
      <c r="CV90" s="347"/>
      <c r="CW90" s="347"/>
      <c r="CX90" s="347"/>
      <c r="CY90" s="347"/>
      <c r="CZ90" s="347"/>
      <c r="DA90" s="347"/>
      <c r="DB90" s="347"/>
      <c r="DC90" s="347"/>
      <c r="DD90" s="347"/>
      <c r="DE90" s="347"/>
      <c r="DF90" s="347"/>
      <c r="DG90" s="347"/>
      <c r="DH90" s="347"/>
      <c r="DI90" s="347"/>
      <c r="DJ90" s="347"/>
      <c r="DK90" s="347"/>
      <c r="DL90" s="347"/>
      <c r="DM90" s="347"/>
      <c r="DN90" s="347"/>
      <c r="DO90" s="347"/>
      <c r="DP90" s="347"/>
      <c r="DQ90" s="347"/>
      <c r="DR90" s="347"/>
      <c r="DS90" s="347"/>
      <c r="DT90" s="347"/>
      <c r="DU90" s="347"/>
      <c r="DV90" s="347"/>
      <c r="DW90" s="347"/>
      <c r="DX90" s="347"/>
      <c r="DY90" s="347"/>
      <c r="DZ90" s="347"/>
      <c r="EA90" s="347"/>
      <c r="EB90" s="347"/>
      <c r="EC90" s="347"/>
      <c r="ED90" s="347"/>
      <c r="EE90" s="347"/>
      <c r="EF90" s="347"/>
      <c r="EG90" s="347"/>
      <c r="EH90" s="347"/>
      <c r="EI90" s="347"/>
      <c r="EJ90" s="347"/>
      <c r="EK90" s="347"/>
      <c r="EL90" s="347"/>
      <c r="EM90" s="347"/>
      <c r="EN90" s="347"/>
      <c r="EO90" s="347"/>
      <c r="EP90" s="347"/>
      <c r="EQ90" s="347"/>
      <c r="ER90" s="347"/>
      <c r="ES90" s="347"/>
      <c r="ET90" s="347"/>
      <c r="EU90" s="347"/>
      <c r="EV90" s="347"/>
      <c r="EW90" s="347"/>
      <c r="EX90" s="347"/>
      <c r="EY90" s="347"/>
      <c r="EZ90" s="347"/>
      <c r="FA90" s="347"/>
      <c r="FB90" s="347"/>
      <c r="FC90" s="347"/>
      <c r="FD90" s="347"/>
      <c r="FE90" s="347"/>
      <c r="FF90" s="347"/>
    </row>
    <row r="91" spans="2:162" s="366" customFormat="1" x14ac:dyDescent="0.3">
      <c r="B91" s="368"/>
      <c r="C91" s="368"/>
      <c r="D91" s="368"/>
      <c r="E91" s="368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47"/>
      <c r="BE91" s="347"/>
      <c r="BF91" s="347"/>
      <c r="BG91" s="347"/>
      <c r="BH91" s="347"/>
      <c r="BI91" s="347"/>
      <c r="BJ91" s="347"/>
      <c r="BK91" s="347"/>
      <c r="BL91" s="347"/>
      <c r="BM91" s="347"/>
      <c r="BN91" s="347"/>
      <c r="BO91" s="347"/>
      <c r="BP91" s="347"/>
      <c r="BQ91" s="347"/>
      <c r="BR91" s="347"/>
      <c r="BS91" s="347"/>
      <c r="BT91" s="347"/>
      <c r="BU91" s="347"/>
      <c r="BV91" s="347"/>
      <c r="BW91" s="347"/>
      <c r="BX91" s="347"/>
      <c r="BY91" s="347"/>
      <c r="BZ91" s="347"/>
      <c r="CA91" s="347"/>
      <c r="CB91" s="347"/>
      <c r="CC91" s="347"/>
      <c r="CD91" s="347"/>
      <c r="CE91" s="347"/>
      <c r="CF91" s="347"/>
      <c r="CG91" s="347"/>
      <c r="CH91" s="347"/>
      <c r="CI91" s="347"/>
      <c r="CJ91" s="347"/>
      <c r="CK91" s="347"/>
      <c r="CL91" s="347"/>
      <c r="CM91" s="347"/>
      <c r="CN91" s="347"/>
      <c r="CO91" s="347"/>
      <c r="CP91" s="347"/>
      <c r="CQ91" s="347"/>
      <c r="CR91" s="347"/>
      <c r="CS91" s="347"/>
      <c r="CT91" s="347"/>
      <c r="CU91" s="347"/>
      <c r="CV91" s="347"/>
      <c r="CW91" s="347"/>
      <c r="CX91" s="347"/>
      <c r="CY91" s="347"/>
      <c r="CZ91" s="347"/>
      <c r="DA91" s="347"/>
      <c r="DB91" s="347"/>
      <c r="DC91" s="347"/>
      <c r="DD91" s="347"/>
      <c r="DE91" s="347"/>
      <c r="DF91" s="347"/>
      <c r="DG91" s="347"/>
      <c r="DH91" s="347"/>
      <c r="DI91" s="347"/>
      <c r="DJ91" s="347"/>
      <c r="DK91" s="347"/>
      <c r="DL91" s="347"/>
      <c r="DM91" s="347"/>
      <c r="DN91" s="347"/>
      <c r="DO91" s="347"/>
      <c r="DP91" s="347"/>
      <c r="DQ91" s="347"/>
      <c r="DR91" s="347"/>
      <c r="DS91" s="347"/>
      <c r="DT91" s="347"/>
      <c r="DU91" s="347"/>
      <c r="DV91" s="347"/>
      <c r="DW91" s="347"/>
      <c r="DX91" s="347"/>
      <c r="DY91" s="347"/>
      <c r="DZ91" s="347"/>
      <c r="EA91" s="347"/>
      <c r="EB91" s="347"/>
      <c r="EC91" s="347"/>
      <c r="ED91" s="347"/>
      <c r="EE91" s="347"/>
      <c r="EF91" s="347"/>
      <c r="EG91" s="347"/>
      <c r="EH91" s="347"/>
      <c r="EI91" s="347"/>
      <c r="EJ91" s="347"/>
      <c r="EK91" s="347"/>
      <c r="EL91" s="347"/>
      <c r="EM91" s="347"/>
      <c r="EN91" s="347"/>
      <c r="EO91" s="347"/>
      <c r="EP91" s="347"/>
      <c r="EQ91" s="347"/>
      <c r="ER91" s="347"/>
      <c r="ES91" s="347"/>
      <c r="ET91" s="347"/>
      <c r="EU91" s="347"/>
      <c r="EV91" s="347"/>
      <c r="EW91" s="347"/>
      <c r="EX91" s="347"/>
      <c r="EY91" s="347"/>
      <c r="EZ91" s="347"/>
      <c r="FA91" s="347"/>
      <c r="FB91" s="347"/>
      <c r="FC91" s="347"/>
      <c r="FD91" s="347"/>
      <c r="FE91" s="347"/>
      <c r="FF91" s="347"/>
    </row>
    <row r="92" spans="2:162" s="366" customFormat="1" x14ac:dyDescent="0.3">
      <c r="B92" s="367"/>
      <c r="C92" s="367"/>
      <c r="D92" s="367"/>
      <c r="E92" s="36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47"/>
      <c r="BE92" s="347"/>
      <c r="BF92" s="347"/>
      <c r="BG92" s="347"/>
      <c r="BH92" s="347"/>
      <c r="BI92" s="347"/>
      <c r="BJ92" s="347"/>
      <c r="BK92" s="347"/>
      <c r="BL92" s="347"/>
      <c r="BM92" s="347"/>
      <c r="BN92" s="347"/>
      <c r="BO92" s="347"/>
      <c r="BP92" s="347"/>
      <c r="BQ92" s="347"/>
      <c r="BR92" s="347"/>
      <c r="BS92" s="347"/>
      <c r="BT92" s="347"/>
      <c r="BU92" s="347"/>
      <c r="BV92" s="347"/>
      <c r="BW92" s="347"/>
      <c r="BX92" s="347"/>
      <c r="BY92" s="347"/>
      <c r="BZ92" s="347"/>
      <c r="CA92" s="347"/>
      <c r="CB92" s="347"/>
      <c r="CC92" s="347"/>
      <c r="CD92" s="347"/>
      <c r="CE92" s="347"/>
      <c r="CF92" s="347"/>
      <c r="CG92" s="347"/>
      <c r="CH92" s="347"/>
      <c r="CI92" s="347"/>
      <c r="CJ92" s="347"/>
      <c r="CK92" s="347"/>
      <c r="CL92" s="347"/>
      <c r="CM92" s="347"/>
      <c r="CN92" s="347"/>
      <c r="CO92" s="347"/>
      <c r="CP92" s="347"/>
      <c r="CQ92" s="347"/>
      <c r="CR92" s="347"/>
      <c r="CS92" s="347"/>
      <c r="CT92" s="347"/>
      <c r="CU92" s="347"/>
      <c r="CV92" s="347"/>
      <c r="CW92" s="347"/>
      <c r="CX92" s="347"/>
      <c r="CY92" s="347"/>
      <c r="CZ92" s="347"/>
      <c r="DA92" s="347"/>
      <c r="DB92" s="347"/>
      <c r="DC92" s="347"/>
      <c r="DD92" s="347"/>
      <c r="DE92" s="347"/>
      <c r="DF92" s="347"/>
      <c r="DG92" s="347"/>
      <c r="DH92" s="347"/>
      <c r="DI92" s="347"/>
      <c r="DJ92" s="347"/>
      <c r="DK92" s="347"/>
      <c r="DL92" s="347"/>
      <c r="DM92" s="347"/>
      <c r="DN92" s="347"/>
      <c r="DO92" s="347"/>
      <c r="DP92" s="347"/>
      <c r="DQ92" s="347"/>
      <c r="DR92" s="347"/>
      <c r="DS92" s="347"/>
      <c r="DT92" s="347"/>
      <c r="DU92" s="347"/>
      <c r="DV92" s="347"/>
      <c r="DW92" s="347"/>
      <c r="DX92" s="347"/>
      <c r="DY92" s="347"/>
      <c r="DZ92" s="347"/>
      <c r="EA92" s="347"/>
      <c r="EB92" s="347"/>
      <c r="EC92" s="347"/>
      <c r="ED92" s="347"/>
      <c r="EE92" s="347"/>
      <c r="EF92" s="347"/>
      <c r="EG92" s="347"/>
      <c r="EH92" s="347"/>
      <c r="EI92" s="347"/>
      <c r="EJ92" s="347"/>
      <c r="EK92" s="347"/>
      <c r="EL92" s="347"/>
      <c r="EM92" s="347"/>
      <c r="EN92" s="347"/>
      <c r="EO92" s="347"/>
      <c r="EP92" s="347"/>
      <c r="EQ92" s="347"/>
      <c r="ER92" s="347"/>
      <c r="ES92" s="347"/>
      <c r="ET92" s="347"/>
      <c r="EU92" s="347"/>
      <c r="EV92" s="347"/>
      <c r="EW92" s="347"/>
      <c r="EX92" s="347"/>
      <c r="EY92" s="347"/>
      <c r="EZ92" s="347"/>
      <c r="FA92" s="347"/>
      <c r="FB92" s="347"/>
      <c r="FC92" s="347"/>
      <c r="FD92" s="347"/>
      <c r="FE92" s="347"/>
      <c r="FF92" s="347"/>
    </row>
    <row r="93" spans="2:162" s="366" customFormat="1" x14ac:dyDescent="0.3">
      <c r="B93" s="367"/>
      <c r="C93" s="367"/>
      <c r="D93" s="367"/>
      <c r="E93" s="36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  <c r="BC93" s="347"/>
      <c r="BD93" s="347"/>
      <c r="BE93" s="347"/>
      <c r="BF93" s="347"/>
      <c r="BG93" s="347"/>
      <c r="BH93" s="347"/>
      <c r="BI93" s="347"/>
      <c r="BJ93" s="347"/>
      <c r="BK93" s="347"/>
      <c r="BL93" s="347"/>
      <c r="BM93" s="347"/>
      <c r="BN93" s="347"/>
      <c r="BO93" s="347"/>
      <c r="BP93" s="347"/>
      <c r="BQ93" s="347"/>
      <c r="BR93" s="347"/>
      <c r="BS93" s="347"/>
      <c r="BT93" s="347"/>
      <c r="BU93" s="347"/>
      <c r="BV93" s="347"/>
      <c r="BW93" s="347"/>
      <c r="BX93" s="347"/>
      <c r="BY93" s="347"/>
      <c r="BZ93" s="347"/>
      <c r="CA93" s="347"/>
      <c r="CB93" s="347"/>
      <c r="CC93" s="347"/>
      <c r="CD93" s="347"/>
      <c r="CE93" s="347"/>
      <c r="CF93" s="347"/>
      <c r="CG93" s="347"/>
      <c r="CH93" s="347"/>
      <c r="CI93" s="347"/>
      <c r="CJ93" s="347"/>
      <c r="CK93" s="347"/>
      <c r="CL93" s="347"/>
      <c r="CM93" s="347"/>
      <c r="CN93" s="347"/>
      <c r="CO93" s="347"/>
      <c r="CP93" s="347"/>
      <c r="CQ93" s="347"/>
      <c r="CR93" s="347"/>
      <c r="CS93" s="347"/>
      <c r="CT93" s="347"/>
      <c r="CU93" s="347"/>
      <c r="CV93" s="347"/>
      <c r="CW93" s="347"/>
      <c r="CX93" s="347"/>
      <c r="CY93" s="347"/>
      <c r="CZ93" s="347"/>
      <c r="DA93" s="347"/>
      <c r="DB93" s="347"/>
      <c r="DC93" s="347"/>
      <c r="DD93" s="347"/>
      <c r="DE93" s="347"/>
      <c r="DF93" s="347"/>
      <c r="DG93" s="347"/>
      <c r="DH93" s="347"/>
      <c r="DI93" s="347"/>
      <c r="DJ93" s="347"/>
      <c r="DK93" s="347"/>
      <c r="DL93" s="347"/>
      <c r="DM93" s="347"/>
      <c r="DN93" s="347"/>
      <c r="DO93" s="347"/>
      <c r="DP93" s="347"/>
      <c r="DQ93" s="347"/>
      <c r="DR93" s="347"/>
      <c r="DS93" s="347"/>
      <c r="DT93" s="347"/>
      <c r="DU93" s="347"/>
      <c r="DV93" s="347"/>
      <c r="DW93" s="347"/>
      <c r="DX93" s="347"/>
      <c r="DY93" s="347"/>
      <c r="DZ93" s="347"/>
      <c r="EA93" s="347"/>
      <c r="EB93" s="347"/>
      <c r="EC93" s="347"/>
      <c r="ED93" s="347"/>
      <c r="EE93" s="347"/>
      <c r="EF93" s="347"/>
      <c r="EG93" s="347"/>
      <c r="EH93" s="347"/>
      <c r="EI93" s="347"/>
      <c r="EJ93" s="347"/>
      <c r="EK93" s="347"/>
      <c r="EL93" s="347"/>
      <c r="EM93" s="347"/>
      <c r="EN93" s="347"/>
      <c r="EO93" s="347"/>
      <c r="EP93" s="347"/>
      <c r="EQ93" s="347"/>
      <c r="ER93" s="347"/>
      <c r="ES93" s="347"/>
      <c r="ET93" s="347"/>
      <c r="EU93" s="347"/>
      <c r="EV93" s="347"/>
      <c r="EW93" s="347"/>
      <c r="EX93" s="347"/>
      <c r="EY93" s="347"/>
      <c r="EZ93" s="347"/>
      <c r="FA93" s="347"/>
      <c r="FB93" s="347"/>
      <c r="FC93" s="347"/>
      <c r="FD93" s="347"/>
      <c r="FE93" s="347"/>
      <c r="FF93" s="347"/>
    </row>
    <row r="94" spans="2:162" s="366" customFormat="1" x14ac:dyDescent="0.3">
      <c r="B94" s="367"/>
      <c r="C94" s="367"/>
      <c r="D94" s="367"/>
      <c r="E94" s="36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  <c r="R94" s="347"/>
      <c r="S94" s="347"/>
      <c r="T94" s="347"/>
      <c r="U94" s="347"/>
      <c r="V94" s="347"/>
      <c r="W94" s="347"/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  <c r="BC94" s="347"/>
      <c r="BD94" s="347"/>
      <c r="BE94" s="347"/>
      <c r="BF94" s="347"/>
      <c r="BG94" s="347"/>
      <c r="BH94" s="347"/>
      <c r="BI94" s="347"/>
      <c r="BJ94" s="347"/>
      <c r="BK94" s="347"/>
      <c r="BL94" s="347"/>
      <c r="BM94" s="347"/>
      <c r="BN94" s="347"/>
      <c r="BO94" s="347"/>
      <c r="BP94" s="347"/>
      <c r="BQ94" s="347"/>
      <c r="BR94" s="347"/>
      <c r="BS94" s="347"/>
      <c r="BT94" s="347"/>
      <c r="BU94" s="347"/>
      <c r="BV94" s="347"/>
      <c r="BW94" s="347"/>
      <c r="BX94" s="347"/>
      <c r="BY94" s="347"/>
      <c r="BZ94" s="347"/>
      <c r="CA94" s="347"/>
      <c r="CB94" s="347"/>
      <c r="CC94" s="347"/>
      <c r="CD94" s="347"/>
      <c r="CE94" s="347"/>
      <c r="CF94" s="347"/>
      <c r="CG94" s="347"/>
      <c r="CH94" s="347"/>
      <c r="CI94" s="347"/>
      <c r="CJ94" s="347"/>
      <c r="CK94" s="347"/>
      <c r="CL94" s="347"/>
      <c r="CM94" s="347"/>
      <c r="CN94" s="347"/>
      <c r="CO94" s="347"/>
      <c r="CP94" s="347"/>
      <c r="CQ94" s="347"/>
      <c r="CR94" s="347"/>
      <c r="CS94" s="347"/>
      <c r="CT94" s="347"/>
      <c r="CU94" s="347"/>
      <c r="CV94" s="347"/>
      <c r="CW94" s="347"/>
      <c r="CX94" s="347"/>
      <c r="CY94" s="347"/>
      <c r="CZ94" s="347"/>
      <c r="DA94" s="347"/>
      <c r="DB94" s="347"/>
      <c r="DC94" s="347"/>
      <c r="DD94" s="347"/>
      <c r="DE94" s="347"/>
      <c r="DF94" s="347"/>
      <c r="DG94" s="347"/>
      <c r="DH94" s="347"/>
      <c r="DI94" s="347"/>
      <c r="DJ94" s="347"/>
      <c r="DK94" s="347"/>
      <c r="DL94" s="347"/>
      <c r="DM94" s="347"/>
      <c r="DN94" s="347"/>
      <c r="DO94" s="347"/>
      <c r="DP94" s="347"/>
      <c r="DQ94" s="347"/>
      <c r="DR94" s="347"/>
      <c r="DS94" s="347"/>
      <c r="DT94" s="347"/>
      <c r="DU94" s="347"/>
      <c r="DV94" s="347"/>
      <c r="DW94" s="347"/>
      <c r="DX94" s="347"/>
      <c r="DY94" s="347"/>
      <c r="DZ94" s="347"/>
      <c r="EA94" s="347"/>
      <c r="EB94" s="347"/>
      <c r="EC94" s="347"/>
      <c r="ED94" s="347"/>
      <c r="EE94" s="347"/>
      <c r="EF94" s="347"/>
      <c r="EG94" s="347"/>
      <c r="EH94" s="347"/>
      <c r="EI94" s="347"/>
      <c r="EJ94" s="347"/>
      <c r="EK94" s="347"/>
      <c r="EL94" s="347"/>
      <c r="EM94" s="347"/>
      <c r="EN94" s="347"/>
      <c r="EO94" s="347"/>
      <c r="EP94" s="347"/>
      <c r="EQ94" s="347"/>
      <c r="ER94" s="347"/>
      <c r="ES94" s="347"/>
      <c r="ET94" s="347"/>
      <c r="EU94" s="347"/>
      <c r="EV94" s="347"/>
      <c r="EW94" s="347"/>
      <c r="EX94" s="347"/>
      <c r="EY94" s="347"/>
      <c r="EZ94" s="347"/>
      <c r="FA94" s="347"/>
      <c r="FB94" s="347"/>
      <c r="FC94" s="347"/>
      <c r="FD94" s="347"/>
      <c r="FE94" s="347"/>
      <c r="FF94" s="347"/>
    </row>
    <row r="95" spans="2:162" s="366" customFormat="1" x14ac:dyDescent="0.3">
      <c r="B95" s="367"/>
      <c r="C95" s="367"/>
      <c r="D95" s="367"/>
      <c r="E95" s="36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7"/>
      <c r="BD95" s="347"/>
      <c r="BE95" s="347"/>
      <c r="BF95" s="347"/>
      <c r="BG95" s="347"/>
      <c r="BH95" s="347"/>
      <c r="BI95" s="347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347"/>
      <c r="BW95" s="347"/>
      <c r="BX95" s="347"/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7"/>
      <c r="CP95" s="347"/>
      <c r="CQ95" s="347"/>
      <c r="CR95" s="347"/>
      <c r="CS95" s="347"/>
      <c r="CT95" s="347"/>
      <c r="CU95" s="347"/>
      <c r="CV95" s="347"/>
      <c r="CW95" s="347"/>
      <c r="CX95" s="347"/>
      <c r="CY95" s="347"/>
      <c r="CZ95" s="347"/>
      <c r="DA95" s="347"/>
      <c r="DB95" s="347"/>
      <c r="DC95" s="347"/>
      <c r="DD95" s="347"/>
      <c r="DE95" s="347"/>
      <c r="DF95" s="347"/>
      <c r="DG95" s="347"/>
      <c r="DH95" s="347"/>
      <c r="DI95" s="347"/>
      <c r="DJ95" s="347"/>
      <c r="DK95" s="347"/>
      <c r="DL95" s="347"/>
      <c r="DM95" s="347"/>
      <c r="DN95" s="347"/>
      <c r="DO95" s="347"/>
      <c r="DP95" s="347"/>
      <c r="DQ95" s="347"/>
      <c r="DR95" s="347"/>
      <c r="DS95" s="347"/>
      <c r="DT95" s="347"/>
      <c r="DU95" s="347"/>
      <c r="DV95" s="347"/>
      <c r="DW95" s="347"/>
      <c r="DX95" s="347"/>
      <c r="DY95" s="347"/>
      <c r="DZ95" s="347"/>
      <c r="EA95" s="347"/>
      <c r="EB95" s="347"/>
      <c r="EC95" s="347"/>
      <c r="ED95" s="347"/>
      <c r="EE95" s="347"/>
      <c r="EF95" s="347"/>
      <c r="EG95" s="347"/>
      <c r="EH95" s="347"/>
      <c r="EI95" s="347"/>
      <c r="EJ95" s="347"/>
      <c r="EK95" s="347"/>
      <c r="EL95" s="347"/>
      <c r="EM95" s="347"/>
      <c r="EN95" s="347"/>
      <c r="EO95" s="347"/>
      <c r="EP95" s="347"/>
      <c r="EQ95" s="347"/>
      <c r="ER95" s="347"/>
      <c r="ES95" s="347"/>
      <c r="ET95" s="347"/>
      <c r="EU95" s="347"/>
      <c r="EV95" s="347"/>
      <c r="EW95" s="347"/>
      <c r="EX95" s="347"/>
      <c r="EY95" s="347"/>
      <c r="EZ95" s="347"/>
      <c r="FA95" s="347"/>
      <c r="FB95" s="347"/>
      <c r="FC95" s="347"/>
      <c r="FD95" s="347"/>
      <c r="FE95" s="347"/>
      <c r="FF95" s="347"/>
    </row>
    <row r="96" spans="2:162" s="366" customFormat="1" x14ac:dyDescent="0.3">
      <c r="B96" s="367"/>
      <c r="C96" s="367"/>
      <c r="D96" s="367"/>
      <c r="E96" s="36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  <c r="BD96" s="347"/>
      <c r="BE96" s="347"/>
      <c r="BF96" s="347"/>
      <c r="BG96" s="347"/>
      <c r="BH96" s="347"/>
      <c r="BI96" s="347"/>
      <c r="BJ96" s="347"/>
      <c r="BK96" s="347"/>
      <c r="BL96" s="347"/>
      <c r="BM96" s="347"/>
      <c r="BN96" s="347"/>
      <c r="BO96" s="347"/>
      <c r="BP96" s="347"/>
      <c r="BQ96" s="347"/>
      <c r="BR96" s="347"/>
      <c r="BS96" s="347"/>
      <c r="BT96" s="347"/>
      <c r="BU96" s="347"/>
      <c r="BV96" s="347"/>
      <c r="BW96" s="347"/>
      <c r="BX96" s="347"/>
      <c r="BY96" s="347"/>
      <c r="BZ96" s="347"/>
      <c r="CA96" s="347"/>
      <c r="CB96" s="347"/>
      <c r="CC96" s="347"/>
      <c r="CD96" s="347"/>
      <c r="CE96" s="347"/>
      <c r="CF96" s="347"/>
      <c r="CG96" s="347"/>
      <c r="CH96" s="347"/>
      <c r="CI96" s="347"/>
      <c r="CJ96" s="347"/>
      <c r="CK96" s="347"/>
      <c r="CL96" s="347"/>
      <c r="CM96" s="347"/>
      <c r="CN96" s="347"/>
      <c r="CO96" s="347"/>
      <c r="CP96" s="347"/>
      <c r="CQ96" s="347"/>
      <c r="CR96" s="347"/>
      <c r="CS96" s="347"/>
      <c r="CT96" s="347"/>
      <c r="CU96" s="347"/>
      <c r="CV96" s="347"/>
      <c r="CW96" s="347"/>
      <c r="CX96" s="347"/>
      <c r="CY96" s="347"/>
      <c r="CZ96" s="347"/>
      <c r="DA96" s="347"/>
      <c r="DB96" s="347"/>
      <c r="DC96" s="347"/>
      <c r="DD96" s="347"/>
      <c r="DE96" s="347"/>
      <c r="DF96" s="347"/>
      <c r="DG96" s="347"/>
      <c r="DH96" s="347"/>
      <c r="DI96" s="347"/>
      <c r="DJ96" s="347"/>
      <c r="DK96" s="347"/>
      <c r="DL96" s="347"/>
      <c r="DM96" s="347"/>
      <c r="DN96" s="347"/>
      <c r="DO96" s="347"/>
      <c r="DP96" s="347"/>
      <c r="DQ96" s="347"/>
      <c r="DR96" s="347"/>
      <c r="DS96" s="347"/>
      <c r="DT96" s="347"/>
      <c r="DU96" s="347"/>
      <c r="DV96" s="347"/>
      <c r="DW96" s="347"/>
      <c r="DX96" s="347"/>
      <c r="DY96" s="347"/>
      <c r="DZ96" s="347"/>
      <c r="EA96" s="347"/>
      <c r="EB96" s="347"/>
      <c r="EC96" s="347"/>
      <c r="ED96" s="347"/>
      <c r="EE96" s="347"/>
      <c r="EF96" s="347"/>
      <c r="EG96" s="347"/>
      <c r="EH96" s="347"/>
      <c r="EI96" s="347"/>
      <c r="EJ96" s="347"/>
      <c r="EK96" s="347"/>
      <c r="EL96" s="347"/>
      <c r="EM96" s="347"/>
      <c r="EN96" s="347"/>
      <c r="EO96" s="347"/>
      <c r="EP96" s="347"/>
      <c r="EQ96" s="347"/>
      <c r="ER96" s="347"/>
      <c r="ES96" s="347"/>
      <c r="ET96" s="347"/>
      <c r="EU96" s="347"/>
      <c r="EV96" s="347"/>
      <c r="EW96" s="347"/>
      <c r="EX96" s="347"/>
      <c r="EY96" s="347"/>
      <c r="EZ96" s="347"/>
      <c r="FA96" s="347"/>
      <c r="FB96" s="347"/>
      <c r="FC96" s="347"/>
      <c r="FD96" s="347"/>
      <c r="FE96" s="347"/>
      <c r="FF96" s="347"/>
    </row>
    <row r="97" spans="2:162" s="366" customFormat="1" x14ac:dyDescent="0.3">
      <c r="B97" s="367"/>
      <c r="C97" s="367"/>
      <c r="D97" s="367"/>
      <c r="E97" s="36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47"/>
      <c r="AH97" s="347"/>
      <c r="AI97" s="347"/>
      <c r="AJ97" s="347"/>
      <c r="AK97" s="347"/>
      <c r="AL97" s="347"/>
      <c r="AM97" s="347"/>
      <c r="AN97" s="347"/>
      <c r="AO97" s="347"/>
      <c r="AP97" s="347"/>
      <c r="AQ97" s="347"/>
      <c r="AR97" s="347"/>
      <c r="AS97" s="347"/>
      <c r="AT97" s="347"/>
      <c r="AU97" s="347"/>
      <c r="AV97" s="347"/>
      <c r="AW97" s="347"/>
      <c r="AX97" s="347"/>
      <c r="AY97" s="347"/>
      <c r="AZ97" s="347"/>
      <c r="BA97" s="347"/>
      <c r="BB97" s="347"/>
      <c r="BC97" s="347"/>
      <c r="BD97" s="347"/>
      <c r="BE97" s="347"/>
      <c r="BF97" s="347"/>
      <c r="BG97" s="347"/>
      <c r="BH97" s="347"/>
      <c r="BI97" s="347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7"/>
      <c r="BX97" s="347"/>
      <c r="BY97" s="347"/>
      <c r="BZ97" s="347"/>
      <c r="CA97" s="347"/>
      <c r="CB97" s="347"/>
      <c r="CC97" s="347"/>
      <c r="CD97" s="347"/>
      <c r="CE97" s="347"/>
      <c r="CF97" s="347"/>
      <c r="CG97" s="347"/>
      <c r="CH97" s="347"/>
      <c r="CI97" s="347"/>
      <c r="CJ97" s="347"/>
      <c r="CK97" s="347"/>
      <c r="CL97" s="347"/>
      <c r="CM97" s="347"/>
      <c r="CN97" s="347"/>
      <c r="CO97" s="347"/>
      <c r="CP97" s="347"/>
      <c r="CQ97" s="347"/>
      <c r="CR97" s="347"/>
      <c r="CS97" s="347"/>
      <c r="CT97" s="347"/>
      <c r="CU97" s="347"/>
      <c r="CV97" s="347"/>
      <c r="CW97" s="347"/>
      <c r="CX97" s="347"/>
      <c r="CY97" s="347"/>
      <c r="CZ97" s="347"/>
      <c r="DA97" s="347"/>
      <c r="DB97" s="347"/>
      <c r="DC97" s="347"/>
      <c r="DD97" s="347"/>
      <c r="DE97" s="347"/>
      <c r="DF97" s="347"/>
      <c r="DG97" s="347"/>
      <c r="DH97" s="347"/>
      <c r="DI97" s="347"/>
      <c r="DJ97" s="347"/>
      <c r="DK97" s="347"/>
      <c r="DL97" s="347"/>
      <c r="DM97" s="347"/>
      <c r="DN97" s="347"/>
      <c r="DO97" s="347"/>
      <c r="DP97" s="347"/>
      <c r="DQ97" s="347"/>
      <c r="DR97" s="347"/>
      <c r="DS97" s="347"/>
      <c r="DT97" s="347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7"/>
      <c r="EF97" s="347"/>
      <c r="EG97" s="347"/>
      <c r="EH97" s="347"/>
      <c r="EI97" s="347"/>
      <c r="EJ97" s="347"/>
      <c r="EK97" s="347"/>
      <c r="EL97" s="347"/>
      <c r="EM97" s="347"/>
      <c r="EN97" s="347"/>
      <c r="EO97" s="347"/>
      <c r="EP97" s="347"/>
      <c r="EQ97" s="347"/>
      <c r="ER97" s="347"/>
      <c r="ES97" s="347"/>
      <c r="ET97" s="347"/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47"/>
      <c r="FF97" s="347"/>
    </row>
    <row r="98" spans="2:162" s="366" customFormat="1" x14ac:dyDescent="0.3">
      <c r="B98" s="367"/>
      <c r="C98" s="367"/>
      <c r="D98" s="367"/>
      <c r="E98" s="36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47"/>
      <c r="BE98" s="347"/>
      <c r="BF98" s="347"/>
      <c r="BG98" s="347"/>
      <c r="BH98" s="347"/>
      <c r="BI98" s="347"/>
      <c r="BJ98" s="347"/>
      <c r="BK98" s="347"/>
      <c r="BL98" s="347"/>
      <c r="BM98" s="347"/>
      <c r="BN98" s="347"/>
      <c r="BO98" s="347"/>
      <c r="BP98" s="347"/>
      <c r="BQ98" s="347"/>
      <c r="BR98" s="347"/>
      <c r="BS98" s="347"/>
      <c r="BT98" s="347"/>
      <c r="BU98" s="347"/>
      <c r="BV98" s="347"/>
      <c r="BW98" s="347"/>
      <c r="BX98" s="347"/>
      <c r="BY98" s="347"/>
      <c r="BZ98" s="347"/>
      <c r="CA98" s="347"/>
      <c r="CB98" s="347"/>
      <c r="CC98" s="347"/>
      <c r="CD98" s="347"/>
      <c r="CE98" s="347"/>
      <c r="CF98" s="347"/>
      <c r="CG98" s="347"/>
      <c r="CH98" s="347"/>
      <c r="CI98" s="347"/>
      <c r="CJ98" s="347"/>
      <c r="CK98" s="347"/>
      <c r="CL98" s="347"/>
      <c r="CM98" s="347"/>
      <c r="CN98" s="347"/>
      <c r="CO98" s="347"/>
      <c r="CP98" s="347"/>
      <c r="CQ98" s="347"/>
      <c r="CR98" s="347"/>
      <c r="CS98" s="347"/>
      <c r="CT98" s="347"/>
      <c r="CU98" s="347"/>
      <c r="CV98" s="347"/>
      <c r="CW98" s="347"/>
      <c r="CX98" s="347"/>
      <c r="CY98" s="347"/>
      <c r="CZ98" s="347"/>
      <c r="DA98" s="347"/>
      <c r="DB98" s="347"/>
      <c r="DC98" s="347"/>
      <c r="DD98" s="347"/>
      <c r="DE98" s="347"/>
      <c r="DF98" s="347"/>
      <c r="DG98" s="347"/>
      <c r="DH98" s="347"/>
      <c r="DI98" s="347"/>
      <c r="DJ98" s="347"/>
      <c r="DK98" s="347"/>
      <c r="DL98" s="347"/>
      <c r="DM98" s="347"/>
      <c r="DN98" s="347"/>
      <c r="DO98" s="347"/>
      <c r="DP98" s="347"/>
      <c r="DQ98" s="347"/>
      <c r="DR98" s="347"/>
      <c r="DS98" s="347"/>
      <c r="DT98" s="347"/>
      <c r="DU98" s="347"/>
      <c r="DV98" s="347"/>
      <c r="DW98" s="347"/>
      <c r="DX98" s="347"/>
      <c r="DY98" s="347"/>
      <c r="DZ98" s="347"/>
      <c r="EA98" s="347"/>
      <c r="EB98" s="347"/>
      <c r="EC98" s="347"/>
      <c r="ED98" s="347"/>
      <c r="EE98" s="347"/>
      <c r="EF98" s="347"/>
      <c r="EG98" s="347"/>
      <c r="EH98" s="347"/>
      <c r="EI98" s="347"/>
      <c r="EJ98" s="347"/>
      <c r="EK98" s="347"/>
      <c r="EL98" s="347"/>
      <c r="EM98" s="347"/>
      <c r="EN98" s="347"/>
      <c r="EO98" s="347"/>
      <c r="EP98" s="347"/>
      <c r="EQ98" s="347"/>
      <c r="ER98" s="347"/>
      <c r="ES98" s="347"/>
      <c r="ET98" s="347"/>
      <c r="EU98" s="347"/>
      <c r="EV98" s="347"/>
      <c r="EW98" s="347"/>
      <c r="EX98" s="347"/>
      <c r="EY98" s="347"/>
      <c r="EZ98" s="347"/>
      <c r="FA98" s="347"/>
      <c r="FB98" s="347"/>
      <c r="FC98" s="347"/>
      <c r="FD98" s="347"/>
      <c r="FE98" s="347"/>
      <c r="FF98" s="347"/>
    </row>
    <row r="99" spans="2:162" s="366" customFormat="1" x14ac:dyDescent="0.3">
      <c r="B99" s="369"/>
      <c r="C99" s="369"/>
      <c r="D99" s="369"/>
      <c r="E99" s="369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  <c r="BC99" s="347"/>
      <c r="BD99" s="347"/>
      <c r="BE99" s="347"/>
      <c r="BF99" s="347"/>
      <c r="BG99" s="347"/>
      <c r="BH99" s="347"/>
      <c r="BI99" s="347"/>
      <c r="BJ99" s="347"/>
      <c r="BK99" s="347"/>
      <c r="BL99" s="347"/>
      <c r="BM99" s="347"/>
      <c r="BN99" s="347"/>
      <c r="BO99" s="347"/>
      <c r="BP99" s="347"/>
      <c r="BQ99" s="347"/>
      <c r="BR99" s="347"/>
      <c r="BS99" s="347"/>
      <c r="BT99" s="347"/>
      <c r="BU99" s="347"/>
      <c r="BV99" s="347"/>
      <c r="BW99" s="347"/>
      <c r="BX99" s="347"/>
      <c r="BY99" s="347"/>
      <c r="BZ99" s="347"/>
      <c r="CA99" s="347"/>
      <c r="CB99" s="347"/>
      <c r="CC99" s="347"/>
      <c r="CD99" s="347"/>
      <c r="CE99" s="347"/>
      <c r="CF99" s="347"/>
      <c r="CG99" s="347"/>
      <c r="CH99" s="347"/>
      <c r="CI99" s="347"/>
      <c r="CJ99" s="347"/>
      <c r="CK99" s="347"/>
      <c r="CL99" s="347"/>
      <c r="CM99" s="347"/>
      <c r="CN99" s="347"/>
      <c r="CO99" s="347"/>
      <c r="CP99" s="347"/>
      <c r="CQ99" s="347"/>
      <c r="CR99" s="347"/>
      <c r="CS99" s="347"/>
      <c r="CT99" s="347"/>
      <c r="CU99" s="347"/>
      <c r="CV99" s="347"/>
      <c r="CW99" s="347"/>
      <c r="CX99" s="347"/>
      <c r="CY99" s="347"/>
      <c r="CZ99" s="347"/>
      <c r="DA99" s="347"/>
      <c r="DB99" s="347"/>
      <c r="DC99" s="347"/>
      <c r="DD99" s="347"/>
      <c r="DE99" s="347"/>
      <c r="DF99" s="347"/>
      <c r="DG99" s="347"/>
      <c r="DH99" s="347"/>
      <c r="DI99" s="347"/>
      <c r="DJ99" s="347"/>
      <c r="DK99" s="347"/>
      <c r="DL99" s="347"/>
      <c r="DM99" s="347"/>
      <c r="DN99" s="347"/>
      <c r="DO99" s="347"/>
      <c r="DP99" s="347"/>
      <c r="DQ99" s="347"/>
      <c r="DR99" s="347"/>
      <c r="DS99" s="347"/>
      <c r="DT99" s="347"/>
      <c r="DU99" s="347"/>
      <c r="DV99" s="347"/>
      <c r="DW99" s="347"/>
      <c r="DX99" s="347"/>
      <c r="DY99" s="347"/>
      <c r="DZ99" s="347"/>
      <c r="EA99" s="347"/>
      <c r="EB99" s="347"/>
      <c r="EC99" s="347"/>
      <c r="ED99" s="347"/>
      <c r="EE99" s="347"/>
      <c r="EF99" s="347"/>
      <c r="EG99" s="347"/>
      <c r="EH99" s="347"/>
      <c r="EI99" s="347"/>
      <c r="EJ99" s="347"/>
      <c r="EK99" s="347"/>
      <c r="EL99" s="347"/>
      <c r="EM99" s="347"/>
      <c r="EN99" s="347"/>
      <c r="EO99" s="347"/>
      <c r="EP99" s="347"/>
      <c r="EQ99" s="347"/>
      <c r="ER99" s="347"/>
      <c r="ES99" s="347"/>
      <c r="ET99" s="347"/>
      <c r="EU99" s="347"/>
      <c r="EV99" s="347"/>
      <c r="EW99" s="347"/>
      <c r="EX99" s="347"/>
      <c r="EY99" s="347"/>
      <c r="EZ99" s="347"/>
      <c r="FA99" s="347"/>
      <c r="FB99" s="347"/>
      <c r="FC99" s="347"/>
      <c r="FD99" s="347"/>
      <c r="FE99" s="347"/>
      <c r="FF99" s="347"/>
    </row>
    <row r="100" spans="2:162" s="366" customFormat="1" x14ac:dyDescent="0.3">
      <c r="B100" s="369"/>
      <c r="C100" s="369"/>
      <c r="D100" s="369"/>
      <c r="E100" s="369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  <c r="BD100" s="347"/>
      <c r="BE100" s="347"/>
      <c r="BF100" s="347"/>
      <c r="BG100" s="347"/>
      <c r="BH100" s="347"/>
      <c r="BI100" s="347"/>
      <c r="BJ100" s="347"/>
      <c r="BK100" s="347"/>
      <c r="BL100" s="347"/>
      <c r="BM100" s="347"/>
      <c r="BN100" s="347"/>
      <c r="BO100" s="347"/>
      <c r="BP100" s="347"/>
      <c r="BQ100" s="347"/>
      <c r="BR100" s="347"/>
      <c r="BS100" s="347"/>
      <c r="BT100" s="347"/>
      <c r="BU100" s="347"/>
      <c r="BV100" s="347"/>
      <c r="BW100" s="347"/>
      <c r="BX100" s="347"/>
      <c r="BY100" s="347"/>
      <c r="BZ100" s="347"/>
      <c r="CA100" s="347"/>
      <c r="CB100" s="347"/>
      <c r="CC100" s="347"/>
      <c r="CD100" s="347"/>
      <c r="CE100" s="347"/>
      <c r="CF100" s="347"/>
      <c r="CG100" s="347"/>
      <c r="CH100" s="347"/>
      <c r="CI100" s="347"/>
      <c r="CJ100" s="347"/>
      <c r="CK100" s="347"/>
      <c r="CL100" s="347"/>
      <c r="CM100" s="347"/>
      <c r="CN100" s="347"/>
      <c r="CO100" s="347"/>
      <c r="CP100" s="347"/>
      <c r="CQ100" s="347"/>
      <c r="CR100" s="347"/>
      <c r="CS100" s="347"/>
      <c r="CT100" s="347"/>
      <c r="CU100" s="347"/>
      <c r="CV100" s="347"/>
      <c r="CW100" s="347"/>
      <c r="CX100" s="347"/>
      <c r="CY100" s="347"/>
      <c r="CZ100" s="347"/>
      <c r="DA100" s="347"/>
      <c r="DB100" s="347"/>
      <c r="DC100" s="347"/>
      <c r="DD100" s="347"/>
      <c r="DE100" s="347"/>
      <c r="DF100" s="347"/>
      <c r="DG100" s="347"/>
      <c r="DH100" s="347"/>
      <c r="DI100" s="347"/>
      <c r="DJ100" s="347"/>
      <c r="DK100" s="347"/>
      <c r="DL100" s="347"/>
      <c r="DM100" s="347"/>
      <c r="DN100" s="347"/>
      <c r="DO100" s="347"/>
      <c r="DP100" s="347"/>
      <c r="DQ100" s="347"/>
      <c r="DR100" s="347"/>
      <c r="DS100" s="347"/>
      <c r="DT100" s="347"/>
      <c r="DU100" s="347"/>
      <c r="DV100" s="347"/>
      <c r="DW100" s="347"/>
      <c r="DX100" s="347"/>
      <c r="DY100" s="347"/>
      <c r="DZ100" s="347"/>
      <c r="EA100" s="347"/>
      <c r="EB100" s="347"/>
      <c r="EC100" s="347"/>
      <c r="ED100" s="347"/>
      <c r="EE100" s="347"/>
      <c r="EF100" s="347"/>
      <c r="EG100" s="347"/>
      <c r="EH100" s="347"/>
      <c r="EI100" s="347"/>
      <c r="EJ100" s="347"/>
      <c r="EK100" s="347"/>
      <c r="EL100" s="347"/>
      <c r="EM100" s="347"/>
      <c r="EN100" s="347"/>
      <c r="EO100" s="347"/>
      <c r="EP100" s="347"/>
      <c r="EQ100" s="347"/>
      <c r="ER100" s="347"/>
      <c r="ES100" s="347"/>
      <c r="ET100" s="347"/>
      <c r="EU100" s="347"/>
      <c r="EV100" s="347"/>
      <c r="EW100" s="347"/>
      <c r="EX100" s="347"/>
      <c r="EY100" s="347"/>
      <c r="EZ100" s="347"/>
      <c r="FA100" s="347"/>
      <c r="FB100" s="347"/>
      <c r="FC100" s="347"/>
      <c r="FD100" s="347"/>
      <c r="FE100" s="347"/>
      <c r="FF100" s="347"/>
    </row>
    <row r="101" spans="2:162" s="366" customFormat="1" x14ac:dyDescent="0.3">
      <c r="B101" s="368"/>
      <c r="C101" s="368"/>
      <c r="D101" s="368"/>
      <c r="E101" s="368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7"/>
      <c r="BE101" s="347"/>
      <c r="BF101" s="347"/>
      <c r="BG101" s="347"/>
      <c r="BH101" s="347"/>
      <c r="BI101" s="347"/>
      <c r="BJ101" s="347"/>
      <c r="BK101" s="347"/>
      <c r="BL101" s="347"/>
      <c r="BM101" s="347"/>
      <c r="BN101" s="347"/>
      <c r="BO101" s="347"/>
      <c r="BP101" s="347"/>
      <c r="BQ101" s="347"/>
      <c r="BR101" s="347"/>
      <c r="BS101" s="347"/>
      <c r="BT101" s="347"/>
      <c r="BU101" s="347"/>
      <c r="BV101" s="347"/>
      <c r="BW101" s="347"/>
      <c r="BX101" s="347"/>
      <c r="BY101" s="347"/>
      <c r="BZ101" s="347"/>
      <c r="CA101" s="347"/>
      <c r="CB101" s="347"/>
      <c r="CC101" s="347"/>
      <c r="CD101" s="347"/>
      <c r="CE101" s="347"/>
      <c r="CF101" s="347"/>
      <c r="CG101" s="347"/>
      <c r="CH101" s="347"/>
      <c r="CI101" s="347"/>
      <c r="CJ101" s="347"/>
      <c r="CK101" s="347"/>
      <c r="CL101" s="347"/>
      <c r="CM101" s="347"/>
      <c r="CN101" s="347"/>
      <c r="CO101" s="347"/>
      <c r="CP101" s="347"/>
      <c r="CQ101" s="347"/>
      <c r="CR101" s="347"/>
      <c r="CS101" s="347"/>
      <c r="CT101" s="347"/>
      <c r="CU101" s="347"/>
      <c r="CV101" s="347"/>
      <c r="CW101" s="347"/>
      <c r="CX101" s="347"/>
      <c r="CY101" s="347"/>
      <c r="CZ101" s="347"/>
      <c r="DA101" s="347"/>
      <c r="DB101" s="347"/>
      <c r="DC101" s="347"/>
      <c r="DD101" s="347"/>
      <c r="DE101" s="347"/>
      <c r="DF101" s="347"/>
      <c r="DG101" s="347"/>
      <c r="DH101" s="347"/>
      <c r="DI101" s="347"/>
      <c r="DJ101" s="347"/>
      <c r="DK101" s="347"/>
      <c r="DL101" s="347"/>
      <c r="DM101" s="347"/>
      <c r="DN101" s="347"/>
      <c r="DO101" s="347"/>
      <c r="DP101" s="347"/>
      <c r="DQ101" s="347"/>
      <c r="DR101" s="347"/>
      <c r="DS101" s="347"/>
      <c r="DT101" s="347"/>
      <c r="DU101" s="347"/>
      <c r="DV101" s="347"/>
      <c r="DW101" s="347"/>
      <c r="DX101" s="347"/>
      <c r="DY101" s="347"/>
      <c r="DZ101" s="347"/>
      <c r="EA101" s="347"/>
      <c r="EB101" s="347"/>
      <c r="EC101" s="347"/>
      <c r="ED101" s="347"/>
      <c r="EE101" s="347"/>
      <c r="EF101" s="347"/>
      <c r="EG101" s="347"/>
      <c r="EH101" s="347"/>
      <c r="EI101" s="347"/>
      <c r="EJ101" s="347"/>
      <c r="EK101" s="347"/>
      <c r="EL101" s="347"/>
      <c r="EM101" s="347"/>
      <c r="EN101" s="347"/>
      <c r="EO101" s="347"/>
      <c r="EP101" s="347"/>
      <c r="EQ101" s="347"/>
      <c r="ER101" s="347"/>
      <c r="ES101" s="347"/>
      <c r="ET101" s="347"/>
      <c r="EU101" s="347"/>
      <c r="EV101" s="347"/>
      <c r="EW101" s="347"/>
      <c r="EX101" s="347"/>
      <c r="EY101" s="347"/>
      <c r="EZ101" s="347"/>
      <c r="FA101" s="347"/>
      <c r="FB101" s="347"/>
      <c r="FC101" s="347"/>
      <c r="FD101" s="347"/>
      <c r="FE101" s="347"/>
      <c r="FF101" s="347"/>
    </row>
    <row r="102" spans="2:162" s="366" customFormat="1" x14ac:dyDescent="0.3">
      <c r="B102" s="368"/>
      <c r="C102" s="368"/>
      <c r="D102" s="368"/>
      <c r="E102" s="368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  <c r="BC102" s="347"/>
      <c r="BD102" s="347"/>
      <c r="BE102" s="347"/>
      <c r="BF102" s="347"/>
      <c r="BG102" s="347"/>
      <c r="BH102" s="347"/>
      <c r="BI102" s="347"/>
      <c r="BJ102" s="347"/>
      <c r="BK102" s="347"/>
      <c r="BL102" s="347"/>
      <c r="BM102" s="347"/>
      <c r="BN102" s="347"/>
      <c r="BO102" s="347"/>
      <c r="BP102" s="347"/>
      <c r="BQ102" s="347"/>
      <c r="BR102" s="347"/>
      <c r="BS102" s="347"/>
      <c r="BT102" s="347"/>
      <c r="BU102" s="347"/>
      <c r="BV102" s="347"/>
      <c r="BW102" s="347"/>
      <c r="BX102" s="347"/>
      <c r="BY102" s="347"/>
      <c r="BZ102" s="347"/>
      <c r="CA102" s="347"/>
      <c r="CB102" s="347"/>
      <c r="CC102" s="347"/>
      <c r="CD102" s="347"/>
      <c r="CE102" s="347"/>
      <c r="CF102" s="347"/>
      <c r="CG102" s="347"/>
      <c r="CH102" s="347"/>
      <c r="CI102" s="347"/>
      <c r="CJ102" s="347"/>
      <c r="CK102" s="347"/>
      <c r="CL102" s="347"/>
      <c r="CM102" s="347"/>
      <c r="CN102" s="347"/>
      <c r="CO102" s="347"/>
      <c r="CP102" s="347"/>
      <c r="CQ102" s="347"/>
      <c r="CR102" s="347"/>
      <c r="CS102" s="347"/>
      <c r="CT102" s="347"/>
      <c r="CU102" s="347"/>
      <c r="CV102" s="347"/>
      <c r="CW102" s="347"/>
      <c r="CX102" s="347"/>
      <c r="CY102" s="347"/>
      <c r="CZ102" s="347"/>
      <c r="DA102" s="347"/>
      <c r="DB102" s="347"/>
      <c r="DC102" s="347"/>
      <c r="DD102" s="347"/>
      <c r="DE102" s="347"/>
      <c r="DF102" s="347"/>
      <c r="DG102" s="347"/>
      <c r="DH102" s="347"/>
      <c r="DI102" s="347"/>
      <c r="DJ102" s="347"/>
      <c r="DK102" s="347"/>
      <c r="DL102" s="347"/>
      <c r="DM102" s="347"/>
      <c r="DN102" s="347"/>
      <c r="DO102" s="347"/>
      <c r="DP102" s="347"/>
      <c r="DQ102" s="347"/>
      <c r="DR102" s="347"/>
      <c r="DS102" s="347"/>
      <c r="DT102" s="347"/>
      <c r="DU102" s="347"/>
      <c r="DV102" s="347"/>
      <c r="DW102" s="347"/>
      <c r="DX102" s="347"/>
      <c r="DY102" s="347"/>
      <c r="DZ102" s="347"/>
      <c r="EA102" s="347"/>
      <c r="EB102" s="347"/>
      <c r="EC102" s="347"/>
      <c r="ED102" s="347"/>
      <c r="EE102" s="347"/>
      <c r="EF102" s="347"/>
      <c r="EG102" s="347"/>
      <c r="EH102" s="347"/>
      <c r="EI102" s="347"/>
      <c r="EJ102" s="347"/>
      <c r="EK102" s="347"/>
      <c r="EL102" s="347"/>
      <c r="EM102" s="347"/>
      <c r="EN102" s="347"/>
      <c r="EO102" s="347"/>
      <c r="EP102" s="347"/>
      <c r="EQ102" s="347"/>
      <c r="ER102" s="347"/>
      <c r="ES102" s="347"/>
      <c r="ET102" s="347"/>
      <c r="EU102" s="347"/>
      <c r="EV102" s="347"/>
      <c r="EW102" s="347"/>
      <c r="EX102" s="347"/>
      <c r="EY102" s="347"/>
      <c r="EZ102" s="347"/>
      <c r="FA102" s="347"/>
      <c r="FB102" s="347"/>
      <c r="FC102" s="347"/>
      <c r="FD102" s="347"/>
      <c r="FE102" s="347"/>
      <c r="FF102" s="347"/>
    </row>
    <row r="103" spans="2:162" s="366" customFormat="1" x14ac:dyDescent="0.3">
      <c r="B103" s="367"/>
      <c r="C103" s="367"/>
      <c r="D103" s="367"/>
      <c r="E103" s="36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  <c r="BD103" s="347"/>
      <c r="BE103" s="347"/>
      <c r="BF103" s="347"/>
      <c r="BG103" s="347"/>
      <c r="BH103" s="347"/>
      <c r="BI103" s="347"/>
      <c r="BJ103" s="347"/>
      <c r="BK103" s="347"/>
      <c r="BL103" s="347"/>
      <c r="BM103" s="347"/>
      <c r="BN103" s="347"/>
      <c r="BO103" s="347"/>
      <c r="BP103" s="347"/>
      <c r="BQ103" s="347"/>
      <c r="BR103" s="347"/>
      <c r="BS103" s="347"/>
      <c r="BT103" s="347"/>
      <c r="BU103" s="347"/>
      <c r="BV103" s="347"/>
      <c r="BW103" s="347"/>
      <c r="BX103" s="347"/>
      <c r="BY103" s="347"/>
      <c r="BZ103" s="347"/>
      <c r="CA103" s="347"/>
      <c r="CB103" s="347"/>
      <c r="CC103" s="347"/>
      <c r="CD103" s="347"/>
      <c r="CE103" s="347"/>
      <c r="CF103" s="347"/>
      <c r="CG103" s="347"/>
      <c r="CH103" s="347"/>
      <c r="CI103" s="347"/>
      <c r="CJ103" s="347"/>
      <c r="CK103" s="347"/>
      <c r="CL103" s="347"/>
      <c r="CM103" s="347"/>
      <c r="CN103" s="347"/>
      <c r="CO103" s="347"/>
      <c r="CP103" s="347"/>
      <c r="CQ103" s="347"/>
      <c r="CR103" s="347"/>
      <c r="CS103" s="347"/>
      <c r="CT103" s="347"/>
      <c r="CU103" s="347"/>
      <c r="CV103" s="347"/>
      <c r="CW103" s="347"/>
      <c r="CX103" s="347"/>
      <c r="CY103" s="347"/>
      <c r="CZ103" s="347"/>
      <c r="DA103" s="347"/>
      <c r="DB103" s="347"/>
      <c r="DC103" s="347"/>
      <c r="DD103" s="347"/>
      <c r="DE103" s="347"/>
      <c r="DF103" s="347"/>
      <c r="DG103" s="347"/>
      <c r="DH103" s="347"/>
      <c r="DI103" s="347"/>
      <c r="DJ103" s="347"/>
      <c r="DK103" s="347"/>
      <c r="DL103" s="347"/>
      <c r="DM103" s="347"/>
      <c r="DN103" s="347"/>
      <c r="DO103" s="347"/>
      <c r="DP103" s="347"/>
      <c r="DQ103" s="347"/>
      <c r="DR103" s="347"/>
      <c r="DS103" s="347"/>
      <c r="DT103" s="347"/>
      <c r="DU103" s="347"/>
      <c r="DV103" s="347"/>
      <c r="DW103" s="347"/>
      <c r="DX103" s="347"/>
      <c r="DY103" s="347"/>
      <c r="DZ103" s="347"/>
      <c r="EA103" s="347"/>
      <c r="EB103" s="347"/>
      <c r="EC103" s="347"/>
      <c r="ED103" s="347"/>
      <c r="EE103" s="347"/>
      <c r="EF103" s="347"/>
      <c r="EG103" s="347"/>
      <c r="EH103" s="347"/>
      <c r="EI103" s="347"/>
      <c r="EJ103" s="347"/>
      <c r="EK103" s="347"/>
      <c r="EL103" s="347"/>
      <c r="EM103" s="347"/>
      <c r="EN103" s="347"/>
      <c r="EO103" s="347"/>
      <c r="EP103" s="347"/>
      <c r="EQ103" s="347"/>
      <c r="ER103" s="347"/>
      <c r="ES103" s="347"/>
      <c r="ET103" s="347"/>
      <c r="EU103" s="347"/>
      <c r="EV103" s="347"/>
      <c r="EW103" s="347"/>
      <c r="EX103" s="347"/>
      <c r="EY103" s="347"/>
      <c r="EZ103" s="347"/>
      <c r="FA103" s="347"/>
      <c r="FB103" s="347"/>
      <c r="FC103" s="347"/>
      <c r="FD103" s="347"/>
      <c r="FE103" s="347"/>
      <c r="FF103" s="347"/>
    </row>
    <row r="104" spans="2:162" s="366" customFormat="1" x14ac:dyDescent="0.3">
      <c r="B104" s="367"/>
      <c r="C104" s="367"/>
      <c r="D104" s="367"/>
      <c r="E104" s="36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7"/>
      <c r="BC104" s="347"/>
      <c r="BD104" s="347"/>
      <c r="BE104" s="347"/>
      <c r="BF104" s="347"/>
      <c r="BG104" s="347"/>
      <c r="BH104" s="347"/>
      <c r="BI104" s="347"/>
      <c r="BJ104" s="347"/>
      <c r="BK104" s="347"/>
      <c r="BL104" s="347"/>
      <c r="BM104" s="347"/>
      <c r="BN104" s="347"/>
      <c r="BO104" s="347"/>
      <c r="BP104" s="347"/>
      <c r="BQ104" s="347"/>
      <c r="BR104" s="347"/>
      <c r="BS104" s="347"/>
      <c r="BT104" s="347"/>
      <c r="BU104" s="347"/>
      <c r="BV104" s="347"/>
      <c r="BW104" s="347"/>
      <c r="BX104" s="347"/>
      <c r="BY104" s="347"/>
      <c r="BZ104" s="347"/>
      <c r="CA104" s="347"/>
      <c r="CB104" s="347"/>
      <c r="CC104" s="347"/>
      <c r="CD104" s="347"/>
      <c r="CE104" s="347"/>
      <c r="CF104" s="347"/>
      <c r="CG104" s="347"/>
      <c r="CH104" s="347"/>
      <c r="CI104" s="347"/>
      <c r="CJ104" s="347"/>
      <c r="CK104" s="347"/>
      <c r="CL104" s="347"/>
      <c r="CM104" s="347"/>
      <c r="CN104" s="347"/>
      <c r="CO104" s="347"/>
      <c r="CP104" s="347"/>
      <c r="CQ104" s="347"/>
      <c r="CR104" s="347"/>
      <c r="CS104" s="347"/>
      <c r="CT104" s="347"/>
      <c r="CU104" s="347"/>
      <c r="CV104" s="347"/>
      <c r="CW104" s="347"/>
      <c r="CX104" s="347"/>
      <c r="CY104" s="347"/>
      <c r="CZ104" s="347"/>
      <c r="DA104" s="347"/>
      <c r="DB104" s="347"/>
      <c r="DC104" s="347"/>
      <c r="DD104" s="347"/>
      <c r="DE104" s="347"/>
      <c r="DF104" s="347"/>
      <c r="DG104" s="347"/>
      <c r="DH104" s="347"/>
      <c r="DI104" s="347"/>
      <c r="DJ104" s="347"/>
      <c r="DK104" s="347"/>
      <c r="DL104" s="347"/>
      <c r="DM104" s="347"/>
      <c r="DN104" s="347"/>
      <c r="DO104" s="347"/>
      <c r="DP104" s="347"/>
      <c r="DQ104" s="347"/>
      <c r="DR104" s="347"/>
      <c r="DS104" s="347"/>
      <c r="DT104" s="347"/>
      <c r="DU104" s="347"/>
      <c r="DV104" s="347"/>
      <c r="DW104" s="347"/>
      <c r="DX104" s="347"/>
      <c r="DY104" s="347"/>
      <c r="DZ104" s="347"/>
      <c r="EA104" s="347"/>
      <c r="EB104" s="347"/>
      <c r="EC104" s="347"/>
      <c r="ED104" s="347"/>
      <c r="EE104" s="347"/>
      <c r="EF104" s="347"/>
      <c r="EG104" s="347"/>
      <c r="EH104" s="347"/>
      <c r="EI104" s="347"/>
      <c r="EJ104" s="347"/>
      <c r="EK104" s="347"/>
      <c r="EL104" s="347"/>
      <c r="EM104" s="347"/>
      <c r="EN104" s="347"/>
      <c r="EO104" s="347"/>
      <c r="EP104" s="347"/>
      <c r="EQ104" s="347"/>
      <c r="ER104" s="347"/>
      <c r="ES104" s="347"/>
      <c r="ET104" s="347"/>
      <c r="EU104" s="347"/>
      <c r="EV104" s="347"/>
      <c r="EW104" s="347"/>
      <c r="EX104" s="347"/>
      <c r="EY104" s="347"/>
      <c r="EZ104" s="347"/>
      <c r="FA104" s="347"/>
      <c r="FB104" s="347"/>
      <c r="FC104" s="347"/>
      <c r="FD104" s="347"/>
      <c r="FE104" s="347"/>
      <c r="FF104" s="347"/>
    </row>
    <row r="105" spans="2:162" s="366" customFormat="1" x14ac:dyDescent="0.3">
      <c r="B105" s="368"/>
      <c r="C105" s="368"/>
      <c r="D105" s="368"/>
      <c r="E105" s="368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7"/>
      <c r="BE105" s="347"/>
      <c r="BF105" s="347"/>
      <c r="BG105" s="347"/>
      <c r="BH105" s="347"/>
      <c r="BI105" s="347"/>
      <c r="BJ105" s="347"/>
      <c r="BK105" s="347"/>
      <c r="BL105" s="347"/>
      <c r="BM105" s="347"/>
      <c r="BN105" s="347"/>
      <c r="BO105" s="347"/>
      <c r="BP105" s="347"/>
      <c r="BQ105" s="347"/>
      <c r="BR105" s="347"/>
      <c r="BS105" s="347"/>
      <c r="BT105" s="347"/>
      <c r="BU105" s="347"/>
      <c r="BV105" s="347"/>
      <c r="BW105" s="347"/>
      <c r="BX105" s="347"/>
      <c r="BY105" s="347"/>
      <c r="BZ105" s="347"/>
      <c r="CA105" s="347"/>
      <c r="CB105" s="347"/>
      <c r="CC105" s="347"/>
      <c r="CD105" s="347"/>
      <c r="CE105" s="347"/>
      <c r="CF105" s="347"/>
      <c r="CG105" s="347"/>
      <c r="CH105" s="347"/>
      <c r="CI105" s="347"/>
      <c r="CJ105" s="347"/>
      <c r="CK105" s="347"/>
      <c r="CL105" s="347"/>
      <c r="CM105" s="347"/>
      <c r="CN105" s="347"/>
      <c r="CO105" s="347"/>
      <c r="CP105" s="347"/>
      <c r="CQ105" s="347"/>
      <c r="CR105" s="347"/>
      <c r="CS105" s="347"/>
      <c r="CT105" s="347"/>
      <c r="CU105" s="347"/>
      <c r="CV105" s="347"/>
      <c r="CW105" s="347"/>
      <c r="CX105" s="347"/>
      <c r="CY105" s="347"/>
      <c r="CZ105" s="347"/>
      <c r="DA105" s="347"/>
      <c r="DB105" s="347"/>
      <c r="DC105" s="347"/>
      <c r="DD105" s="347"/>
      <c r="DE105" s="347"/>
      <c r="DF105" s="347"/>
      <c r="DG105" s="347"/>
      <c r="DH105" s="347"/>
      <c r="DI105" s="347"/>
      <c r="DJ105" s="347"/>
      <c r="DK105" s="347"/>
      <c r="DL105" s="347"/>
      <c r="DM105" s="347"/>
      <c r="DN105" s="347"/>
      <c r="DO105" s="347"/>
      <c r="DP105" s="347"/>
      <c r="DQ105" s="347"/>
      <c r="DR105" s="347"/>
      <c r="DS105" s="347"/>
      <c r="DT105" s="347"/>
      <c r="DU105" s="347"/>
      <c r="DV105" s="347"/>
      <c r="DW105" s="347"/>
      <c r="DX105" s="347"/>
      <c r="DY105" s="347"/>
      <c r="DZ105" s="347"/>
      <c r="EA105" s="347"/>
      <c r="EB105" s="347"/>
      <c r="EC105" s="347"/>
      <c r="ED105" s="347"/>
      <c r="EE105" s="347"/>
      <c r="EF105" s="347"/>
      <c r="EG105" s="347"/>
      <c r="EH105" s="347"/>
      <c r="EI105" s="347"/>
      <c r="EJ105" s="347"/>
      <c r="EK105" s="347"/>
      <c r="EL105" s="347"/>
      <c r="EM105" s="347"/>
      <c r="EN105" s="347"/>
      <c r="EO105" s="347"/>
      <c r="EP105" s="347"/>
      <c r="EQ105" s="347"/>
      <c r="ER105" s="347"/>
      <c r="ES105" s="347"/>
      <c r="ET105" s="347"/>
      <c r="EU105" s="347"/>
      <c r="EV105" s="347"/>
      <c r="EW105" s="347"/>
      <c r="EX105" s="347"/>
      <c r="EY105" s="347"/>
      <c r="EZ105" s="347"/>
      <c r="FA105" s="347"/>
      <c r="FB105" s="347"/>
      <c r="FC105" s="347"/>
      <c r="FD105" s="347"/>
      <c r="FE105" s="347"/>
      <c r="FF105" s="347"/>
    </row>
    <row r="106" spans="2:162" s="366" customFormat="1" x14ac:dyDescent="0.3">
      <c r="B106" s="367"/>
      <c r="C106" s="367"/>
      <c r="D106" s="367"/>
      <c r="E106" s="36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7"/>
      <c r="AL106" s="347"/>
      <c r="AM106" s="347"/>
      <c r="AN106" s="347"/>
      <c r="AO106" s="347"/>
      <c r="AP106" s="347"/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7"/>
      <c r="BB106" s="347"/>
      <c r="BC106" s="347"/>
      <c r="BD106" s="347"/>
      <c r="BE106" s="347"/>
      <c r="BF106" s="347"/>
      <c r="BG106" s="347"/>
      <c r="BH106" s="347"/>
      <c r="BI106" s="347"/>
      <c r="BJ106" s="347"/>
      <c r="BK106" s="347"/>
      <c r="BL106" s="347"/>
      <c r="BM106" s="347"/>
      <c r="BN106" s="347"/>
      <c r="BO106" s="347"/>
      <c r="BP106" s="347"/>
      <c r="BQ106" s="347"/>
      <c r="BR106" s="347"/>
      <c r="BS106" s="347"/>
      <c r="BT106" s="347"/>
      <c r="BU106" s="347"/>
      <c r="BV106" s="347"/>
      <c r="BW106" s="347"/>
      <c r="BX106" s="347"/>
      <c r="BY106" s="347"/>
      <c r="BZ106" s="347"/>
      <c r="CA106" s="347"/>
      <c r="CB106" s="347"/>
      <c r="CC106" s="347"/>
      <c r="CD106" s="347"/>
      <c r="CE106" s="347"/>
      <c r="CF106" s="347"/>
      <c r="CG106" s="347"/>
      <c r="CH106" s="347"/>
      <c r="CI106" s="347"/>
      <c r="CJ106" s="347"/>
      <c r="CK106" s="347"/>
      <c r="CL106" s="347"/>
      <c r="CM106" s="347"/>
      <c r="CN106" s="347"/>
      <c r="CO106" s="347"/>
      <c r="CP106" s="347"/>
      <c r="CQ106" s="347"/>
      <c r="CR106" s="347"/>
      <c r="CS106" s="347"/>
      <c r="CT106" s="347"/>
      <c r="CU106" s="347"/>
      <c r="CV106" s="347"/>
      <c r="CW106" s="347"/>
      <c r="CX106" s="347"/>
      <c r="CY106" s="347"/>
      <c r="CZ106" s="347"/>
      <c r="DA106" s="347"/>
      <c r="DB106" s="347"/>
      <c r="DC106" s="347"/>
      <c r="DD106" s="347"/>
      <c r="DE106" s="347"/>
      <c r="DF106" s="347"/>
      <c r="DG106" s="347"/>
      <c r="DH106" s="347"/>
      <c r="DI106" s="347"/>
      <c r="DJ106" s="347"/>
      <c r="DK106" s="347"/>
      <c r="DL106" s="347"/>
      <c r="DM106" s="347"/>
      <c r="DN106" s="347"/>
      <c r="DO106" s="347"/>
      <c r="DP106" s="347"/>
      <c r="DQ106" s="347"/>
      <c r="DR106" s="347"/>
      <c r="DS106" s="347"/>
      <c r="DT106" s="347"/>
      <c r="DU106" s="347"/>
      <c r="DV106" s="347"/>
      <c r="DW106" s="347"/>
      <c r="DX106" s="347"/>
      <c r="DY106" s="347"/>
      <c r="DZ106" s="347"/>
      <c r="EA106" s="347"/>
      <c r="EB106" s="347"/>
      <c r="EC106" s="347"/>
      <c r="ED106" s="347"/>
      <c r="EE106" s="347"/>
      <c r="EF106" s="347"/>
      <c r="EG106" s="347"/>
      <c r="EH106" s="347"/>
      <c r="EI106" s="347"/>
      <c r="EJ106" s="347"/>
      <c r="EK106" s="347"/>
      <c r="EL106" s="347"/>
      <c r="EM106" s="347"/>
      <c r="EN106" s="347"/>
      <c r="EO106" s="347"/>
      <c r="EP106" s="347"/>
      <c r="EQ106" s="347"/>
      <c r="ER106" s="347"/>
      <c r="ES106" s="347"/>
      <c r="ET106" s="347"/>
      <c r="EU106" s="347"/>
      <c r="EV106" s="347"/>
      <c r="EW106" s="347"/>
      <c r="EX106" s="347"/>
      <c r="EY106" s="347"/>
      <c r="EZ106" s="347"/>
      <c r="FA106" s="347"/>
      <c r="FB106" s="347"/>
      <c r="FC106" s="347"/>
      <c r="FD106" s="347"/>
      <c r="FE106" s="347"/>
      <c r="FF106" s="347"/>
    </row>
    <row r="107" spans="2:162" s="366" customFormat="1" x14ac:dyDescent="0.3">
      <c r="B107" s="367"/>
      <c r="C107" s="367"/>
      <c r="D107" s="367"/>
      <c r="E107" s="36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7"/>
      <c r="BE107" s="347"/>
      <c r="BF107" s="347"/>
      <c r="BG107" s="347"/>
      <c r="BH107" s="347"/>
      <c r="BI107" s="347"/>
      <c r="BJ107" s="347"/>
      <c r="BK107" s="347"/>
      <c r="BL107" s="347"/>
      <c r="BM107" s="347"/>
      <c r="BN107" s="347"/>
      <c r="BO107" s="347"/>
      <c r="BP107" s="347"/>
      <c r="BQ107" s="347"/>
      <c r="BR107" s="347"/>
      <c r="BS107" s="347"/>
      <c r="BT107" s="347"/>
      <c r="BU107" s="347"/>
      <c r="BV107" s="347"/>
      <c r="BW107" s="347"/>
      <c r="BX107" s="347"/>
      <c r="BY107" s="347"/>
      <c r="BZ107" s="347"/>
      <c r="CA107" s="347"/>
      <c r="CB107" s="347"/>
      <c r="CC107" s="347"/>
      <c r="CD107" s="347"/>
      <c r="CE107" s="347"/>
      <c r="CF107" s="347"/>
      <c r="CG107" s="347"/>
      <c r="CH107" s="347"/>
      <c r="CI107" s="347"/>
      <c r="CJ107" s="347"/>
      <c r="CK107" s="347"/>
      <c r="CL107" s="347"/>
      <c r="CM107" s="347"/>
      <c r="CN107" s="347"/>
      <c r="CO107" s="347"/>
      <c r="CP107" s="347"/>
      <c r="CQ107" s="347"/>
      <c r="CR107" s="347"/>
      <c r="CS107" s="347"/>
      <c r="CT107" s="347"/>
      <c r="CU107" s="347"/>
      <c r="CV107" s="347"/>
      <c r="CW107" s="347"/>
      <c r="CX107" s="347"/>
      <c r="CY107" s="347"/>
      <c r="CZ107" s="347"/>
      <c r="DA107" s="347"/>
      <c r="DB107" s="347"/>
      <c r="DC107" s="347"/>
      <c r="DD107" s="347"/>
      <c r="DE107" s="347"/>
      <c r="DF107" s="347"/>
      <c r="DG107" s="347"/>
      <c r="DH107" s="347"/>
      <c r="DI107" s="347"/>
      <c r="DJ107" s="347"/>
      <c r="DK107" s="347"/>
      <c r="DL107" s="347"/>
      <c r="DM107" s="347"/>
      <c r="DN107" s="347"/>
      <c r="DO107" s="347"/>
      <c r="DP107" s="347"/>
      <c r="DQ107" s="347"/>
      <c r="DR107" s="347"/>
      <c r="DS107" s="347"/>
      <c r="DT107" s="347"/>
      <c r="DU107" s="347"/>
      <c r="DV107" s="347"/>
      <c r="DW107" s="347"/>
      <c r="DX107" s="347"/>
      <c r="DY107" s="347"/>
      <c r="DZ107" s="347"/>
      <c r="EA107" s="347"/>
      <c r="EB107" s="347"/>
      <c r="EC107" s="347"/>
      <c r="ED107" s="347"/>
      <c r="EE107" s="347"/>
      <c r="EF107" s="347"/>
      <c r="EG107" s="347"/>
      <c r="EH107" s="347"/>
      <c r="EI107" s="347"/>
      <c r="EJ107" s="347"/>
      <c r="EK107" s="347"/>
      <c r="EL107" s="347"/>
      <c r="EM107" s="347"/>
      <c r="EN107" s="347"/>
      <c r="EO107" s="347"/>
      <c r="EP107" s="347"/>
      <c r="EQ107" s="347"/>
      <c r="ER107" s="347"/>
      <c r="ES107" s="347"/>
      <c r="ET107" s="347"/>
      <c r="EU107" s="347"/>
      <c r="EV107" s="347"/>
      <c r="EW107" s="347"/>
      <c r="EX107" s="347"/>
      <c r="EY107" s="347"/>
      <c r="EZ107" s="347"/>
      <c r="FA107" s="347"/>
      <c r="FB107" s="347"/>
      <c r="FC107" s="347"/>
      <c r="FD107" s="347"/>
      <c r="FE107" s="347"/>
      <c r="FF107" s="347"/>
    </row>
    <row r="108" spans="2:162" s="366" customFormat="1" x14ac:dyDescent="0.3">
      <c r="B108" s="367"/>
      <c r="C108" s="367"/>
      <c r="D108" s="367"/>
      <c r="E108" s="36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47"/>
      <c r="BE108" s="347"/>
      <c r="BF108" s="347"/>
      <c r="BG108" s="347"/>
      <c r="BH108" s="347"/>
      <c r="BI108" s="347"/>
      <c r="BJ108" s="347"/>
      <c r="BK108" s="347"/>
      <c r="BL108" s="347"/>
      <c r="BM108" s="347"/>
      <c r="BN108" s="347"/>
      <c r="BO108" s="347"/>
      <c r="BP108" s="347"/>
      <c r="BQ108" s="347"/>
      <c r="BR108" s="347"/>
      <c r="BS108" s="347"/>
      <c r="BT108" s="347"/>
      <c r="BU108" s="347"/>
      <c r="BV108" s="347"/>
      <c r="BW108" s="347"/>
      <c r="BX108" s="347"/>
      <c r="BY108" s="347"/>
      <c r="BZ108" s="347"/>
      <c r="CA108" s="347"/>
      <c r="CB108" s="347"/>
      <c r="CC108" s="347"/>
      <c r="CD108" s="347"/>
      <c r="CE108" s="347"/>
      <c r="CF108" s="347"/>
      <c r="CG108" s="347"/>
      <c r="CH108" s="347"/>
      <c r="CI108" s="347"/>
      <c r="CJ108" s="347"/>
      <c r="CK108" s="347"/>
      <c r="CL108" s="347"/>
      <c r="CM108" s="347"/>
      <c r="CN108" s="347"/>
      <c r="CO108" s="347"/>
      <c r="CP108" s="347"/>
      <c r="CQ108" s="347"/>
      <c r="CR108" s="347"/>
      <c r="CS108" s="347"/>
      <c r="CT108" s="347"/>
      <c r="CU108" s="347"/>
      <c r="CV108" s="347"/>
      <c r="CW108" s="347"/>
      <c r="CX108" s="347"/>
      <c r="CY108" s="347"/>
      <c r="CZ108" s="347"/>
      <c r="DA108" s="347"/>
      <c r="DB108" s="347"/>
      <c r="DC108" s="347"/>
      <c r="DD108" s="347"/>
      <c r="DE108" s="347"/>
      <c r="DF108" s="347"/>
      <c r="DG108" s="347"/>
      <c r="DH108" s="347"/>
      <c r="DI108" s="347"/>
      <c r="DJ108" s="347"/>
      <c r="DK108" s="347"/>
      <c r="DL108" s="347"/>
      <c r="DM108" s="347"/>
      <c r="DN108" s="347"/>
      <c r="DO108" s="347"/>
      <c r="DP108" s="347"/>
      <c r="DQ108" s="347"/>
      <c r="DR108" s="347"/>
      <c r="DS108" s="347"/>
      <c r="DT108" s="347"/>
      <c r="DU108" s="347"/>
      <c r="DV108" s="347"/>
      <c r="DW108" s="347"/>
      <c r="DX108" s="347"/>
      <c r="DY108" s="347"/>
      <c r="DZ108" s="347"/>
      <c r="EA108" s="347"/>
      <c r="EB108" s="347"/>
      <c r="EC108" s="347"/>
      <c r="ED108" s="347"/>
      <c r="EE108" s="347"/>
      <c r="EF108" s="347"/>
      <c r="EG108" s="347"/>
      <c r="EH108" s="347"/>
      <c r="EI108" s="347"/>
      <c r="EJ108" s="347"/>
      <c r="EK108" s="347"/>
      <c r="EL108" s="347"/>
      <c r="EM108" s="347"/>
      <c r="EN108" s="347"/>
      <c r="EO108" s="347"/>
      <c r="EP108" s="347"/>
      <c r="EQ108" s="347"/>
      <c r="ER108" s="347"/>
      <c r="ES108" s="347"/>
      <c r="ET108" s="347"/>
      <c r="EU108" s="347"/>
      <c r="EV108" s="347"/>
      <c r="EW108" s="347"/>
      <c r="EX108" s="347"/>
      <c r="EY108" s="347"/>
      <c r="EZ108" s="347"/>
      <c r="FA108" s="347"/>
      <c r="FB108" s="347"/>
      <c r="FC108" s="347"/>
      <c r="FD108" s="347"/>
      <c r="FE108" s="347"/>
      <c r="FF108" s="347"/>
    </row>
    <row r="109" spans="2:162" s="366" customFormat="1" x14ac:dyDescent="0.3">
      <c r="B109" s="367"/>
      <c r="C109" s="367"/>
      <c r="D109" s="367"/>
      <c r="E109" s="36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7"/>
      <c r="BE109" s="347"/>
      <c r="BF109" s="347"/>
      <c r="BG109" s="347"/>
      <c r="BH109" s="347"/>
      <c r="BI109" s="347"/>
      <c r="BJ109" s="347"/>
      <c r="BK109" s="347"/>
      <c r="BL109" s="347"/>
      <c r="BM109" s="347"/>
      <c r="BN109" s="347"/>
      <c r="BO109" s="347"/>
      <c r="BP109" s="347"/>
      <c r="BQ109" s="347"/>
      <c r="BR109" s="347"/>
      <c r="BS109" s="347"/>
      <c r="BT109" s="347"/>
      <c r="BU109" s="347"/>
      <c r="BV109" s="347"/>
      <c r="BW109" s="347"/>
      <c r="BX109" s="347"/>
      <c r="BY109" s="347"/>
      <c r="BZ109" s="347"/>
      <c r="CA109" s="347"/>
      <c r="CB109" s="347"/>
      <c r="CC109" s="347"/>
      <c r="CD109" s="347"/>
      <c r="CE109" s="347"/>
      <c r="CF109" s="347"/>
      <c r="CG109" s="347"/>
      <c r="CH109" s="347"/>
      <c r="CI109" s="347"/>
      <c r="CJ109" s="347"/>
      <c r="CK109" s="347"/>
      <c r="CL109" s="347"/>
      <c r="CM109" s="347"/>
      <c r="CN109" s="347"/>
      <c r="CO109" s="347"/>
      <c r="CP109" s="347"/>
      <c r="CQ109" s="347"/>
      <c r="CR109" s="347"/>
      <c r="CS109" s="347"/>
      <c r="CT109" s="347"/>
      <c r="CU109" s="347"/>
      <c r="CV109" s="347"/>
      <c r="CW109" s="347"/>
      <c r="CX109" s="347"/>
      <c r="CY109" s="347"/>
      <c r="CZ109" s="347"/>
      <c r="DA109" s="347"/>
      <c r="DB109" s="347"/>
      <c r="DC109" s="347"/>
      <c r="DD109" s="347"/>
      <c r="DE109" s="347"/>
      <c r="DF109" s="347"/>
      <c r="DG109" s="347"/>
      <c r="DH109" s="347"/>
      <c r="DI109" s="347"/>
      <c r="DJ109" s="347"/>
      <c r="DK109" s="347"/>
      <c r="DL109" s="347"/>
      <c r="DM109" s="347"/>
      <c r="DN109" s="347"/>
      <c r="DO109" s="347"/>
      <c r="DP109" s="347"/>
      <c r="DQ109" s="347"/>
      <c r="DR109" s="347"/>
      <c r="DS109" s="347"/>
      <c r="DT109" s="347"/>
      <c r="DU109" s="347"/>
      <c r="DV109" s="347"/>
      <c r="DW109" s="347"/>
      <c r="DX109" s="347"/>
      <c r="DY109" s="347"/>
      <c r="DZ109" s="347"/>
      <c r="EA109" s="347"/>
      <c r="EB109" s="347"/>
      <c r="EC109" s="347"/>
      <c r="ED109" s="347"/>
      <c r="EE109" s="347"/>
      <c r="EF109" s="347"/>
      <c r="EG109" s="347"/>
      <c r="EH109" s="347"/>
      <c r="EI109" s="347"/>
      <c r="EJ109" s="347"/>
      <c r="EK109" s="347"/>
      <c r="EL109" s="347"/>
      <c r="EM109" s="347"/>
      <c r="EN109" s="347"/>
      <c r="EO109" s="347"/>
      <c r="EP109" s="347"/>
      <c r="EQ109" s="347"/>
      <c r="ER109" s="347"/>
      <c r="ES109" s="347"/>
      <c r="ET109" s="347"/>
      <c r="EU109" s="347"/>
      <c r="EV109" s="347"/>
      <c r="EW109" s="347"/>
      <c r="EX109" s="347"/>
      <c r="EY109" s="347"/>
      <c r="EZ109" s="347"/>
      <c r="FA109" s="347"/>
      <c r="FB109" s="347"/>
      <c r="FC109" s="347"/>
      <c r="FD109" s="347"/>
      <c r="FE109" s="347"/>
      <c r="FF109" s="347"/>
    </row>
    <row r="110" spans="2:162" s="366" customFormat="1" x14ac:dyDescent="0.3">
      <c r="B110" s="367"/>
      <c r="C110" s="367"/>
      <c r="D110" s="367"/>
      <c r="E110" s="36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47"/>
      <c r="BE110" s="347"/>
      <c r="BF110" s="347"/>
      <c r="BG110" s="347"/>
      <c r="BH110" s="347"/>
      <c r="BI110" s="347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7"/>
      <c r="BV110" s="347"/>
      <c r="BW110" s="347"/>
      <c r="BX110" s="347"/>
      <c r="BY110" s="347"/>
      <c r="BZ110" s="347"/>
      <c r="CA110" s="347"/>
      <c r="CB110" s="347"/>
      <c r="CC110" s="347"/>
      <c r="CD110" s="347"/>
      <c r="CE110" s="347"/>
      <c r="CF110" s="347"/>
      <c r="CG110" s="347"/>
      <c r="CH110" s="347"/>
      <c r="CI110" s="347"/>
      <c r="CJ110" s="347"/>
      <c r="CK110" s="347"/>
      <c r="CL110" s="347"/>
      <c r="CM110" s="347"/>
      <c r="CN110" s="347"/>
      <c r="CO110" s="347"/>
      <c r="CP110" s="347"/>
      <c r="CQ110" s="347"/>
      <c r="CR110" s="347"/>
      <c r="CS110" s="347"/>
      <c r="CT110" s="347"/>
      <c r="CU110" s="347"/>
      <c r="CV110" s="347"/>
      <c r="CW110" s="347"/>
      <c r="CX110" s="347"/>
      <c r="CY110" s="347"/>
      <c r="CZ110" s="347"/>
      <c r="DA110" s="347"/>
      <c r="DB110" s="347"/>
      <c r="DC110" s="347"/>
      <c r="DD110" s="347"/>
      <c r="DE110" s="347"/>
      <c r="DF110" s="347"/>
      <c r="DG110" s="347"/>
      <c r="DH110" s="347"/>
      <c r="DI110" s="347"/>
      <c r="DJ110" s="347"/>
      <c r="DK110" s="347"/>
      <c r="DL110" s="347"/>
      <c r="DM110" s="347"/>
      <c r="DN110" s="347"/>
      <c r="DO110" s="347"/>
      <c r="DP110" s="347"/>
      <c r="DQ110" s="347"/>
      <c r="DR110" s="347"/>
      <c r="DS110" s="347"/>
      <c r="DT110" s="347"/>
      <c r="DU110" s="347"/>
      <c r="DV110" s="347"/>
      <c r="DW110" s="347"/>
      <c r="DX110" s="347"/>
      <c r="DY110" s="347"/>
      <c r="DZ110" s="347"/>
      <c r="EA110" s="347"/>
      <c r="EB110" s="347"/>
      <c r="EC110" s="347"/>
      <c r="ED110" s="347"/>
      <c r="EE110" s="347"/>
      <c r="EF110" s="347"/>
      <c r="EG110" s="347"/>
      <c r="EH110" s="347"/>
      <c r="EI110" s="347"/>
      <c r="EJ110" s="347"/>
      <c r="EK110" s="347"/>
      <c r="EL110" s="347"/>
      <c r="EM110" s="347"/>
      <c r="EN110" s="347"/>
      <c r="EO110" s="347"/>
      <c r="EP110" s="347"/>
      <c r="EQ110" s="347"/>
      <c r="ER110" s="347"/>
      <c r="ES110" s="347"/>
      <c r="ET110" s="347"/>
      <c r="EU110" s="347"/>
      <c r="EV110" s="347"/>
      <c r="EW110" s="347"/>
      <c r="EX110" s="347"/>
      <c r="EY110" s="347"/>
      <c r="EZ110" s="347"/>
      <c r="FA110" s="347"/>
      <c r="FB110" s="347"/>
      <c r="FC110" s="347"/>
      <c r="FD110" s="347"/>
      <c r="FE110" s="347"/>
      <c r="FF110" s="347"/>
    </row>
    <row r="111" spans="2:162" s="366" customFormat="1" x14ac:dyDescent="0.3">
      <c r="B111" s="370"/>
      <c r="C111" s="370"/>
      <c r="D111" s="370"/>
      <c r="E111" s="370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7"/>
      <c r="BE111" s="347"/>
      <c r="BF111" s="347"/>
      <c r="BG111" s="347"/>
      <c r="BH111" s="347"/>
      <c r="BI111" s="347"/>
      <c r="BJ111" s="347"/>
      <c r="BK111" s="347"/>
      <c r="BL111" s="347"/>
      <c r="BM111" s="347"/>
      <c r="BN111" s="347"/>
      <c r="BO111" s="347"/>
      <c r="BP111" s="347"/>
      <c r="BQ111" s="347"/>
      <c r="BR111" s="347"/>
      <c r="BS111" s="347"/>
      <c r="BT111" s="347"/>
      <c r="BU111" s="347"/>
      <c r="BV111" s="347"/>
      <c r="BW111" s="347"/>
      <c r="BX111" s="347"/>
      <c r="BY111" s="347"/>
      <c r="BZ111" s="347"/>
      <c r="CA111" s="347"/>
      <c r="CB111" s="347"/>
      <c r="CC111" s="347"/>
      <c r="CD111" s="347"/>
      <c r="CE111" s="347"/>
      <c r="CF111" s="347"/>
      <c r="CG111" s="347"/>
      <c r="CH111" s="347"/>
      <c r="CI111" s="347"/>
      <c r="CJ111" s="347"/>
      <c r="CK111" s="347"/>
      <c r="CL111" s="347"/>
      <c r="CM111" s="347"/>
      <c r="CN111" s="347"/>
      <c r="CO111" s="347"/>
      <c r="CP111" s="347"/>
      <c r="CQ111" s="347"/>
      <c r="CR111" s="347"/>
      <c r="CS111" s="347"/>
      <c r="CT111" s="347"/>
      <c r="CU111" s="347"/>
      <c r="CV111" s="347"/>
      <c r="CW111" s="347"/>
      <c r="CX111" s="347"/>
      <c r="CY111" s="347"/>
      <c r="CZ111" s="347"/>
      <c r="DA111" s="347"/>
      <c r="DB111" s="347"/>
      <c r="DC111" s="347"/>
      <c r="DD111" s="347"/>
      <c r="DE111" s="347"/>
      <c r="DF111" s="347"/>
      <c r="DG111" s="347"/>
      <c r="DH111" s="347"/>
      <c r="DI111" s="347"/>
      <c r="DJ111" s="347"/>
      <c r="DK111" s="347"/>
      <c r="DL111" s="347"/>
      <c r="DM111" s="347"/>
      <c r="DN111" s="347"/>
      <c r="DO111" s="347"/>
      <c r="DP111" s="347"/>
      <c r="DQ111" s="347"/>
      <c r="DR111" s="347"/>
      <c r="DS111" s="347"/>
      <c r="DT111" s="347"/>
      <c r="DU111" s="347"/>
      <c r="DV111" s="347"/>
      <c r="DW111" s="347"/>
      <c r="DX111" s="347"/>
      <c r="DY111" s="347"/>
      <c r="DZ111" s="347"/>
      <c r="EA111" s="347"/>
      <c r="EB111" s="347"/>
      <c r="EC111" s="347"/>
      <c r="ED111" s="347"/>
      <c r="EE111" s="347"/>
      <c r="EF111" s="347"/>
      <c r="EG111" s="347"/>
      <c r="EH111" s="347"/>
      <c r="EI111" s="347"/>
      <c r="EJ111" s="347"/>
      <c r="EK111" s="347"/>
      <c r="EL111" s="347"/>
      <c r="EM111" s="347"/>
      <c r="EN111" s="347"/>
      <c r="EO111" s="347"/>
      <c r="EP111" s="347"/>
      <c r="EQ111" s="347"/>
      <c r="ER111" s="347"/>
      <c r="ES111" s="347"/>
      <c r="ET111" s="347"/>
      <c r="EU111" s="347"/>
      <c r="EV111" s="347"/>
      <c r="EW111" s="347"/>
      <c r="EX111" s="347"/>
      <c r="EY111" s="347"/>
      <c r="EZ111" s="347"/>
      <c r="FA111" s="347"/>
      <c r="FB111" s="347"/>
      <c r="FC111" s="347"/>
      <c r="FD111" s="347"/>
      <c r="FE111" s="347"/>
      <c r="FF111" s="347"/>
    </row>
    <row r="112" spans="2:162" s="366" customFormat="1" x14ac:dyDescent="0.3">
      <c r="B112" s="367"/>
      <c r="C112" s="367"/>
      <c r="D112" s="367"/>
      <c r="E112" s="36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47"/>
      <c r="BE112" s="347"/>
      <c r="BF112" s="347"/>
      <c r="BG112" s="347"/>
      <c r="BH112" s="347"/>
      <c r="BI112" s="347"/>
      <c r="BJ112" s="347"/>
      <c r="BK112" s="347"/>
      <c r="BL112" s="347"/>
      <c r="BM112" s="347"/>
      <c r="BN112" s="347"/>
      <c r="BO112" s="347"/>
      <c r="BP112" s="347"/>
      <c r="BQ112" s="347"/>
      <c r="BR112" s="347"/>
      <c r="BS112" s="347"/>
      <c r="BT112" s="347"/>
      <c r="BU112" s="347"/>
      <c r="BV112" s="347"/>
      <c r="BW112" s="347"/>
      <c r="BX112" s="347"/>
      <c r="BY112" s="347"/>
      <c r="BZ112" s="347"/>
      <c r="CA112" s="347"/>
      <c r="CB112" s="347"/>
      <c r="CC112" s="347"/>
      <c r="CD112" s="347"/>
      <c r="CE112" s="347"/>
      <c r="CF112" s="347"/>
      <c r="CG112" s="347"/>
      <c r="CH112" s="347"/>
      <c r="CI112" s="347"/>
      <c r="CJ112" s="347"/>
      <c r="CK112" s="347"/>
      <c r="CL112" s="347"/>
      <c r="CM112" s="347"/>
      <c r="CN112" s="347"/>
      <c r="CO112" s="347"/>
      <c r="CP112" s="347"/>
      <c r="CQ112" s="347"/>
      <c r="CR112" s="347"/>
      <c r="CS112" s="347"/>
      <c r="CT112" s="347"/>
      <c r="CU112" s="347"/>
      <c r="CV112" s="347"/>
      <c r="CW112" s="347"/>
      <c r="CX112" s="347"/>
      <c r="CY112" s="347"/>
      <c r="CZ112" s="347"/>
      <c r="DA112" s="347"/>
      <c r="DB112" s="347"/>
      <c r="DC112" s="347"/>
      <c r="DD112" s="347"/>
      <c r="DE112" s="347"/>
      <c r="DF112" s="347"/>
      <c r="DG112" s="347"/>
      <c r="DH112" s="347"/>
      <c r="DI112" s="347"/>
      <c r="DJ112" s="347"/>
      <c r="DK112" s="347"/>
      <c r="DL112" s="347"/>
      <c r="DM112" s="347"/>
      <c r="DN112" s="347"/>
      <c r="DO112" s="347"/>
      <c r="DP112" s="347"/>
      <c r="DQ112" s="347"/>
      <c r="DR112" s="347"/>
      <c r="DS112" s="347"/>
      <c r="DT112" s="347"/>
      <c r="DU112" s="347"/>
      <c r="DV112" s="347"/>
      <c r="DW112" s="347"/>
      <c r="DX112" s="347"/>
      <c r="DY112" s="347"/>
      <c r="DZ112" s="347"/>
      <c r="EA112" s="347"/>
      <c r="EB112" s="347"/>
      <c r="EC112" s="347"/>
      <c r="ED112" s="347"/>
      <c r="EE112" s="347"/>
      <c r="EF112" s="347"/>
      <c r="EG112" s="347"/>
      <c r="EH112" s="347"/>
      <c r="EI112" s="347"/>
      <c r="EJ112" s="347"/>
      <c r="EK112" s="347"/>
      <c r="EL112" s="347"/>
      <c r="EM112" s="347"/>
      <c r="EN112" s="347"/>
      <c r="EO112" s="347"/>
      <c r="EP112" s="347"/>
      <c r="EQ112" s="347"/>
      <c r="ER112" s="347"/>
      <c r="ES112" s="347"/>
      <c r="ET112" s="347"/>
      <c r="EU112" s="347"/>
      <c r="EV112" s="347"/>
      <c r="EW112" s="347"/>
      <c r="EX112" s="347"/>
      <c r="EY112" s="347"/>
      <c r="EZ112" s="347"/>
      <c r="FA112" s="347"/>
      <c r="FB112" s="347"/>
      <c r="FC112" s="347"/>
      <c r="FD112" s="347"/>
      <c r="FE112" s="347"/>
      <c r="FF112" s="347"/>
    </row>
    <row r="113" spans="2:162" s="366" customFormat="1" x14ac:dyDescent="0.3">
      <c r="B113" s="367"/>
      <c r="C113" s="367"/>
      <c r="D113" s="367"/>
      <c r="E113" s="36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 s="347"/>
      <c r="BP113" s="347"/>
      <c r="BQ113" s="347"/>
      <c r="BR113" s="347"/>
      <c r="BS113" s="347"/>
      <c r="BT113" s="347"/>
      <c r="BU113" s="347"/>
      <c r="BV113" s="347"/>
      <c r="BW113" s="347"/>
      <c r="BX113" s="347"/>
      <c r="BY113" s="347"/>
      <c r="BZ113" s="347"/>
      <c r="CA113" s="347"/>
      <c r="CB113" s="347"/>
      <c r="CC113" s="347"/>
      <c r="CD113" s="347"/>
      <c r="CE113" s="347"/>
      <c r="CF113" s="347"/>
      <c r="CG113" s="347"/>
      <c r="CH113" s="347"/>
      <c r="CI113" s="347"/>
      <c r="CJ113" s="347"/>
      <c r="CK113" s="347"/>
      <c r="CL113" s="347"/>
      <c r="CM113" s="347"/>
      <c r="CN113" s="347"/>
      <c r="CO113" s="347"/>
      <c r="CP113" s="347"/>
      <c r="CQ113" s="347"/>
      <c r="CR113" s="347"/>
      <c r="CS113" s="347"/>
      <c r="CT113" s="347"/>
      <c r="CU113" s="347"/>
      <c r="CV113" s="347"/>
      <c r="CW113" s="347"/>
      <c r="CX113" s="347"/>
      <c r="CY113" s="347"/>
      <c r="CZ113" s="347"/>
      <c r="DA113" s="347"/>
      <c r="DB113" s="347"/>
      <c r="DC113" s="347"/>
      <c r="DD113" s="347"/>
      <c r="DE113" s="347"/>
      <c r="DF113" s="347"/>
      <c r="DG113" s="347"/>
      <c r="DH113" s="347"/>
      <c r="DI113" s="347"/>
      <c r="DJ113" s="347"/>
      <c r="DK113" s="347"/>
      <c r="DL113" s="347"/>
      <c r="DM113" s="347"/>
      <c r="DN113" s="347"/>
      <c r="DO113" s="347"/>
      <c r="DP113" s="347"/>
      <c r="DQ113" s="347"/>
      <c r="DR113" s="347"/>
      <c r="DS113" s="347"/>
      <c r="DT113" s="347"/>
      <c r="DU113" s="347"/>
      <c r="DV113" s="347"/>
      <c r="DW113" s="347"/>
      <c r="DX113" s="347"/>
      <c r="DY113" s="347"/>
      <c r="DZ113" s="347"/>
      <c r="EA113" s="347"/>
      <c r="EB113" s="347"/>
      <c r="EC113" s="347"/>
      <c r="ED113" s="347"/>
      <c r="EE113" s="347"/>
      <c r="EF113" s="347"/>
      <c r="EG113" s="347"/>
      <c r="EH113" s="347"/>
      <c r="EI113" s="347"/>
      <c r="EJ113" s="347"/>
      <c r="EK113" s="347"/>
      <c r="EL113" s="347"/>
      <c r="EM113" s="347"/>
      <c r="EN113" s="347"/>
      <c r="EO113" s="347"/>
      <c r="EP113" s="347"/>
      <c r="EQ113" s="347"/>
      <c r="ER113" s="347"/>
      <c r="ES113" s="347"/>
      <c r="ET113" s="347"/>
      <c r="EU113" s="347"/>
      <c r="EV113" s="347"/>
      <c r="EW113" s="347"/>
      <c r="EX113" s="347"/>
      <c r="EY113" s="347"/>
      <c r="EZ113" s="347"/>
      <c r="FA113" s="347"/>
      <c r="FB113" s="347"/>
      <c r="FC113" s="347"/>
      <c r="FD113" s="347"/>
      <c r="FE113" s="347"/>
      <c r="FF113" s="347"/>
    </row>
    <row r="114" spans="2:162" s="366" customFormat="1" x14ac:dyDescent="0.3">
      <c r="B114" s="367"/>
      <c r="C114" s="367"/>
      <c r="D114" s="367"/>
      <c r="E114" s="36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7"/>
      <c r="BE114" s="347"/>
      <c r="BF114" s="347"/>
      <c r="BG114" s="347"/>
      <c r="BH114" s="347"/>
      <c r="BI114" s="347"/>
      <c r="BJ114" s="347"/>
      <c r="BK114" s="347"/>
      <c r="BL114" s="347"/>
      <c r="BM114" s="347"/>
      <c r="BN114" s="347"/>
      <c r="BO114" s="347"/>
      <c r="BP114" s="347"/>
      <c r="BQ114" s="347"/>
      <c r="BR114" s="347"/>
      <c r="BS114" s="347"/>
      <c r="BT114" s="347"/>
      <c r="BU114" s="347"/>
      <c r="BV114" s="347"/>
      <c r="BW114" s="347"/>
      <c r="BX114" s="347"/>
      <c r="BY114" s="347"/>
      <c r="BZ114" s="347"/>
      <c r="CA114" s="347"/>
      <c r="CB114" s="347"/>
      <c r="CC114" s="347"/>
      <c r="CD114" s="347"/>
      <c r="CE114" s="347"/>
      <c r="CF114" s="347"/>
      <c r="CG114" s="347"/>
      <c r="CH114" s="347"/>
      <c r="CI114" s="347"/>
      <c r="CJ114" s="347"/>
      <c r="CK114" s="347"/>
      <c r="CL114" s="347"/>
      <c r="CM114" s="347"/>
      <c r="CN114" s="347"/>
      <c r="CO114" s="347"/>
      <c r="CP114" s="347"/>
      <c r="CQ114" s="347"/>
      <c r="CR114" s="347"/>
      <c r="CS114" s="347"/>
      <c r="CT114" s="347"/>
      <c r="CU114" s="347"/>
      <c r="CV114" s="347"/>
      <c r="CW114" s="347"/>
      <c r="CX114" s="347"/>
      <c r="CY114" s="347"/>
      <c r="CZ114" s="347"/>
      <c r="DA114" s="347"/>
      <c r="DB114" s="347"/>
      <c r="DC114" s="347"/>
      <c r="DD114" s="347"/>
      <c r="DE114" s="347"/>
      <c r="DF114" s="347"/>
      <c r="DG114" s="347"/>
      <c r="DH114" s="347"/>
      <c r="DI114" s="347"/>
      <c r="DJ114" s="347"/>
      <c r="DK114" s="347"/>
      <c r="DL114" s="347"/>
      <c r="DM114" s="347"/>
      <c r="DN114" s="347"/>
      <c r="DO114" s="347"/>
      <c r="DP114" s="347"/>
      <c r="DQ114" s="347"/>
      <c r="DR114" s="347"/>
      <c r="DS114" s="347"/>
      <c r="DT114" s="347"/>
      <c r="DU114" s="347"/>
      <c r="DV114" s="347"/>
      <c r="DW114" s="347"/>
      <c r="DX114" s="347"/>
      <c r="DY114" s="347"/>
      <c r="DZ114" s="347"/>
      <c r="EA114" s="347"/>
      <c r="EB114" s="347"/>
      <c r="EC114" s="347"/>
      <c r="ED114" s="347"/>
      <c r="EE114" s="347"/>
      <c r="EF114" s="347"/>
      <c r="EG114" s="347"/>
      <c r="EH114" s="347"/>
      <c r="EI114" s="347"/>
      <c r="EJ114" s="347"/>
      <c r="EK114" s="347"/>
      <c r="EL114" s="347"/>
      <c r="EM114" s="347"/>
      <c r="EN114" s="347"/>
      <c r="EO114" s="347"/>
      <c r="EP114" s="347"/>
      <c r="EQ114" s="347"/>
      <c r="ER114" s="347"/>
      <c r="ES114" s="347"/>
      <c r="ET114" s="347"/>
      <c r="EU114" s="347"/>
      <c r="EV114" s="347"/>
      <c r="EW114" s="347"/>
      <c r="EX114" s="347"/>
      <c r="EY114" s="347"/>
      <c r="EZ114" s="347"/>
      <c r="FA114" s="347"/>
      <c r="FB114" s="347"/>
      <c r="FC114" s="347"/>
      <c r="FD114" s="347"/>
      <c r="FE114" s="347"/>
      <c r="FF114" s="347"/>
    </row>
    <row r="115" spans="2:162" s="366" customFormat="1" x14ac:dyDescent="0.3">
      <c r="B115" s="367"/>
      <c r="C115" s="367"/>
      <c r="D115" s="367"/>
      <c r="E115" s="36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7"/>
      <c r="BB115" s="347"/>
      <c r="BC115" s="347"/>
      <c r="BD115" s="347"/>
      <c r="BE115" s="347"/>
      <c r="BF115" s="347"/>
      <c r="BG115" s="347"/>
      <c r="BH115" s="347"/>
      <c r="BI115" s="347"/>
      <c r="BJ115" s="347"/>
      <c r="BK115" s="347"/>
      <c r="BL115" s="347"/>
      <c r="BM115" s="347"/>
      <c r="BN115" s="347"/>
      <c r="BO115" s="347"/>
      <c r="BP115" s="347"/>
      <c r="BQ115" s="347"/>
      <c r="BR115" s="347"/>
      <c r="BS115" s="347"/>
      <c r="BT115" s="347"/>
      <c r="BU115" s="347"/>
      <c r="BV115" s="347"/>
      <c r="BW115" s="347"/>
      <c r="BX115" s="347"/>
      <c r="BY115" s="347"/>
      <c r="BZ115" s="347"/>
      <c r="CA115" s="347"/>
      <c r="CB115" s="347"/>
      <c r="CC115" s="347"/>
      <c r="CD115" s="347"/>
      <c r="CE115" s="347"/>
      <c r="CF115" s="347"/>
      <c r="CG115" s="347"/>
      <c r="CH115" s="347"/>
      <c r="CI115" s="347"/>
      <c r="CJ115" s="347"/>
      <c r="CK115" s="347"/>
      <c r="CL115" s="347"/>
      <c r="CM115" s="347"/>
      <c r="CN115" s="347"/>
      <c r="CO115" s="347"/>
      <c r="CP115" s="347"/>
      <c r="CQ115" s="347"/>
      <c r="CR115" s="347"/>
      <c r="CS115" s="347"/>
      <c r="CT115" s="347"/>
      <c r="CU115" s="347"/>
      <c r="CV115" s="347"/>
      <c r="CW115" s="347"/>
      <c r="CX115" s="347"/>
      <c r="CY115" s="347"/>
      <c r="CZ115" s="347"/>
      <c r="DA115" s="347"/>
      <c r="DB115" s="347"/>
      <c r="DC115" s="347"/>
      <c r="DD115" s="347"/>
      <c r="DE115" s="347"/>
      <c r="DF115" s="347"/>
      <c r="DG115" s="347"/>
      <c r="DH115" s="347"/>
      <c r="DI115" s="347"/>
      <c r="DJ115" s="347"/>
      <c r="DK115" s="347"/>
      <c r="DL115" s="347"/>
      <c r="DM115" s="347"/>
      <c r="DN115" s="347"/>
      <c r="DO115" s="347"/>
      <c r="DP115" s="347"/>
      <c r="DQ115" s="347"/>
      <c r="DR115" s="347"/>
      <c r="DS115" s="347"/>
      <c r="DT115" s="347"/>
      <c r="DU115" s="347"/>
      <c r="DV115" s="347"/>
      <c r="DW115" s="347"/>
      <c r="DX115" s="347"/>
      <c r="DY115" s="347"/>
      <c r="DZ115" s="347"/>
      <c r="EA115" s="347"/>
      <c r="EB115" s="347"/>
      <c r="EC115" s="347"/>
      <c r="ED115" s="347"/>
      <c r="EE115" s="347"/>
      <c r="EF115" s="347"/>
      <c r="EG115" s="347"/>
      <c r="EH115" s="347"/>
      <c r="EI115" s="347"/>
      <c r="EJ115" s="347"/>
      <c r="EK115" s="347"/>
      <c r="EL115" s="347"/>
      <c r="EM115" s="347"/>
      <c r="EN115" s="347"/>
      <c r="EO115" s="347"/>
      <c r="EP115" s="347"/>
      <c r="EQ115" s="347"/>
      <c r="ER115" s="347"/>
      <c r="ES115" s="347"/>
      <c r="ET115" s="347"/>
      <c r="EU115" s="347"/>
      <c r="EV115" s="347"/>
      <c r="EW115" s="347"/>
      <c r="EX115" s="347"/>
      <c r="EY115" s="347"/>
      <c r="EZ115" s="347"/>
      <c r="FA115" s="347"/>
      <c r="FB115" s="347"/>
      <c r="FC115" s="347"/>
      <c r="FD115" s="347"/>
      <c r="FE115" s="347"/>
      <c r="FF115" s="347"/>
    </row>
    <row r="116" spans="2:162" s="366" customFormat="1" x14ac:dyDescent="0.3">
      <c r="B116" s="369"/>
      <c r="C116" s="369"/>
      <c r="D116" s="369"/>
      <c r="E116" s="369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7"/>
      <c r="BB116" s="347"/>
      <c r="BC116" s="347"/>
      <c r="BD116" s="347"/>
      <c r="BE116" s="347"/>
      <c r="BF116" s="347"/>
      <c r="BG116" s="347"/>
      <c r="BH116" s="347"/>
      <c r="BI116" s="347"/>
      <c r="BJ116" s="347"/>
      <c r="BK116" s="347"/>
      <c r="BL116" s="347"/>
      <c r="BM116" s="347"/>
      <c r="BN116" s="347"/>
      <c r="BO116" s="347"/>
      <c r="BP116" s="347"/>
      <c r="BQ116" s="347"/>
      <c r="BR116" s="347"/>
      <c r="BS116" s="347"/>
      <c r="BT116" s="347"/>
      <c r="BU116" s="347"/>
      <c r="BV116" s="347"/>
      <c r="BW116" s="347"/>
      <c r="BX116" s="347"/>
      <c r="BY116" s="347"/>
      <c r="BZ116" s="347"/>
      <c r="CA116" s="347"/>
      <c r="CB116" s="347"/>
      <c r="CC116" s="347"/>
      <c r="CD116" s="347"/>
      <c r="CE116" s="347"/>
      <c r="CF116" s="347"/>
      <c r="CG116" s="347"/>
      <c r="CH116" s="347"/>
      <c r="CI116" s="347"/>
      <c r="CJ116" s="347"/>
      <c r="CK116" s="347"/>
      <c r="CL116" s="347"/>
      <c r="CM116" s="347"/>
      <c r="CN116" s="347"/>
      <c r="CO116" s="347"/>
      <c r="CP116" s="347"/>
      <c r="CQ116" s="347"/>
      <c r="CR116" s="347"/>
      <c r="CS116" s="347"/>
      <c r="CT116" s="347"/>
      <c r="CU116" s="347"/>
      <c r="CV116" s="347"/>
      <c r="CW116" s="347"/>
      <c r="CX116" s="347"/>
      <c r="CY116" s="347"/>
      <c r="CZ116" s="347"/>
      <c r="DA116" s="347"/>
      <c r="DB116" s="347"/>
      <c r="DC116" s="347"/>
      <c r="DD116" s="347"/>
      <c r="DE116" s="347"/>
      <c r="DF116" s="347"/>
      <c r="DG116" s="347"/>
      <c r="DH116" s="347"/>
      <c r="DI116" s="347"/>
      <c r="DJ116" s="347"/>
      <c r="DK116" s="347"/>
      <c r="DL116" s="347"/>
      <c r="DM116" s="347"/>
      <c r="DN116" s="347"/>
      <c r="DO116" s="347"/>
      <c r="DP116" s="347"/>
      <c r="DQ116" s="347"/>
      <c r="DR116" s="347"/>
      <c r="DS116" s="347"/>
      <c r="DT116" s="347"/>
      <c r="DU116" s="347"/>
      <c r="DV116" s="347"/>
      <c r="DW116" s="347"/>
      <c r="DX116" s="347"/>
      <c r="DY116" s="347"/>
      <c r="DZ116" s="347"/>
      <c r="EA116" s="347"/>
      <c r="EB116" s="347"/>
      <c r="EC116" s="347"/>
      <c r="ED116" s="347"/>
      <c r="EE116" s="347"/>
      <c r="EF116" s="347"/>
      <c r="EG116" s="347"/>
      <c r="EH116" s="347"/>
      <c r="EI116" s="347"/>
      <c r="EJ116" s="347"/>
      <c r="EK116" s="347"/>
      <c r="EL116" s="347"/>
      <c r="EM116" s="347"/>
      <c r="EN116" s="347"/>
      <c r="EO116" s="347"/>
      <c r="EP116" s="347"/>
      <c r="EQ116" s="347"/>
      <c r="ER116" s="347"/>
      <c r="ES116" s="347"/>
      <c r="ET116" s="347"/>
      <c r="EU116" s="347"/>
      <c r="EV116" s="347"/>
      <c r="EW116" s="347"/>
      <c r="EX116" s="347"/>
      <c r="EY116" s="347"/>
      <c r="EZ116" s="347"/>
      <c r="FA116" s="347"/>
      <c r="FB116" s="347"/>
      <c r="FC116" s="347"/>
      <c r="FD116" s="347"/>
      <c r="FE116" s="347"/>
      <c r="FF116" s="347"/>
    </row>
    <row r="117" spans="2:162" s="366" customFormat="1" x14ac:dyDescent="0.3">
      <c r="B117" s="367"/>
      <c r="C117" s="367"/>
      <c r="D117" s="367"/>
      <c r="E117" s="36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7"/>
      <c r="BB117" s="347"/>
      <c r="BC117" s="347"/>
      <c r="BD117" s="347"/>
      <c r="BE117" s="347"/>
      <c r="BF117" s="347"/>
      <c r="BG117" s="347"/>
      <c r="BH117" s="347"/>
      <c r="BI117" s="347"/>
      <c r="BJ117" s="347"/>
      <c r="BK117" s="347"/>
      <c r="BL117" s="347"/>
      <c r="BM117" s="347"/>
      <c r="BN117" s="347"/>
      <c r="BO117" s="347"/>
      <c r="BP117" s="347"/>
      <c r="BQ117" s="347"/>
      <c r="BR117" s="347"/>
      <c r="BS117" s="347"/>
      <c r="BT117" s="347"/>
      <c r="BU117" s="347"/>
      <c r="BV117" s="347"/>
      <c r="BW117" s="347"/>
      <c r="BX117" s="347"/>
      <c r="BY117" s="347"/>
      <c r="BZ117" s="347"/>
      <c r="CA117" s="347"/>
      <c r="CB117" s="347"/>
      <c r="CC117" s="347"/>
      <c r="CD117" s="347"/>
      <c r="CE117" s="347"/>
      <c r="CF117" s="347"/>
      <c r="CG117" s="347"/>
      <c r="CH117" s="347"/>
      <c r="CI117" s="347"/>
      <c r="CJ117" s="347"/>
      <c r="CK117" s="347"/>
      <c r="CL117" s="347"/>
      <c r="CM117" s="347"/>
      <c r="CN117" s="347"/>
      <c r="CO117" s="347"/>
      <c r="CP117" s="347"/>
      <c r="CQ117" s="347"/>
      <c r="CR117" s="347"/>
      <c r="CS117" s="347"/>
      <c r="CT117" s="347"/>
      <c r="CU117" s="347"/>
      <c r="CV117" s="347"/>
      <c r="CW117" s="347"/>
      <c r="CX117" s="347"/>
      <c r="CY117" s="347"/>
      <c r="CZ117" s="347"/>
      <c r="DA117" s="347"/>
      <c r="DB117" s="347"/>
      <c r="DC117" s="347"/>
      <c r="DD117" s="347"/>
      <c r="DE117" s="347"/>
      <c r="DF117" s="347"/>
      <c r="DG117" s="347"/>
      <c r="DH117" s="347"/>
      <c r="DI117" s="347"/>
      <c r="DJ117" s="347"/>
      <c r="DK117" s="347"/>
      <c r="DL117" s="347"/>
      <c r="DM117" s="347"/>
      <c r="DN117" s="347"/>
      <c r="DO117" s="347"/>
      <c r="DP117" s="347"/>
      <c r="DQ117" s="347"/>
      <c r="DR117" s="347"/>
      <c r="DS117" s="347"/>
      <c r="DT117" s="347"/>
      <c r="DU117" s="347"/>
      <c r="DV117" s="347"/>
      <c r="DW117" s="347"/>
      <c r="DX117" s="347"/>
      <c r="DY117" s="347"/>
      <c r="DZ117" s="347"/>
      <c r="EA117" s="347"/>
      <c r="EB117" s="347"/>
      <c r="EC117" s="347"/>
      <c r="ED117" s="347"/>
      <c r="EE117" s="347"/>
      <c r="EF117" s="347"/>
      <c r="EG117" s="347"/>
      <c r="EH117" s="347"/>
      <c r="EI117" s="347"/>
      <c r="EJ117" s="347"/>
      <c r="EK117" s="347"/>
      <c r="EL117" s="347"/>
      <c r="EM117" s="347"/>
      <c r="EN117" s="347"/>
      <c r="EO117" s="347"/>
      <c r="EP117" s="347"/>
      <c r="EQ117" s="347"/>
      <c r="ER117" s="347"/>
      <c r="ES117" s="347"/>
      <c r="ET117" s="347"/>
      <c r="EU117" s="347"/>
      <c r="EV117" s="347"/>
      <c r="EW117" s="347"/>
      <c r="EX117" s="347"/>
      <c r="EY117" s="347"/>
      <c r="EZ117" s="347"/>
      <c r="FA117" s="347"/>
      <c r="FB117" s="347"/>
      <c r="FC117" s="347"/>
      <c r="FD117" s="347"/>
      <c r="FE117" s="347"/>
      <c r="FF117" s="347"/>
    </row>
    <row r="118" spans="2:162" s="366" customFormat="1" x14ac:dyDescent="0.3">
      <c r="B118" s="368"/>
      <c r="C118" s="368"/>
      <c r="D118" s="368"/>
      <c r="E118" s="368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7"/>
      <c r="W118" s="347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/>
      <c r="AU118" s="347"/>
      <c r="AV118" s="347"/>
      <c r="AW118" s="347"/>
      <c r="AX118" s="347"/>
      <c r="AY118" s="347"/>
      <c r="AZ118" s="347"/>
      <c r="BA118" s="347"/>
      <c r="BB118" s="347"/>
      <c r="BC118" s="347"/>
      <c r="BD118" s="347"/>
      <c r="BE118" s="347"/>
      <c r="BF118" s="347"/>
      <c r="BG118" s="347"/>
      <c r="BH118" s="347"/>
      <c r="BI118" s="347"/>
      <c r="BJ118" s="347"/>
      <c r="BK118" s="347"/>
      <c r="BL118" s="347"/>
      <c r="BM118" s="347"/>
      <c r="BN118" s="347"/>
      <c r="BO118" s="347"/>
      <c r="BP118" s="347"/>
      <c r="BQ118" s="347"/>
      <c r="BR118" s="347"/>
      <c r="BS118" s="347"/>
      <c r="BT118" s="347"/>
      <c r="BU118" s="347"/>
      <c r="BV118" s="347"/>
      <c r="BW118" s="347"/>
      <c r="BX118" s="347"/>
      <c r="BY118" s="347"/>
      <c r="BZ118" s="347"/>
      <c r="CA118" s="347"/>
      <c r="CB118" s="347"/>
      <c r="CC118" s="347"/>
      <c r="CD118" s="347"/>
      <c r="CE118" s="347"/>
      <c r="CF118" s="347"/>
      <c r="CG118" s="347"/>
      <c r="CH118" s="347"/>
      <c r="CI118" s="347"/>
      <c r="CJ118" s="347"/>
      <c r="CK118" s="347"/>
      <c r="CL118" s="347"/>
      <c r="CM118" s="347"/>
      <c r="CN118" s="347"/>
      <c r="CO118" s="347"/>
      <c r="CP118" s="347"/>
      <c r="CQ118" s="347"/>
      <c r="CR118" s="347"/>
      <c r="CS118" s="347"/>
      <c r="CT118" s="347"/>
      <c r="CU118" s="347"/>
      <c r="CV118" s="347"/>
      <c r="CW118" s="347"/>
      <c r="CX118" s="347"/>
      <c r="CY118" s="347"/>
      <c r="CZ118" s="347"/>
      <c r="DA118" s="347"/>
      <c r="DB118" s="347"/>
      <c r="DC118" s="347"/>
      <c r="DD118" s="347"/>
      <c r="DE118" s="347"/>
      <c r="DF118" s="347"/>
      <c r="DG118" s="347"/>
      <c r="DH118" s="347"/>
      <c r="DI118" s="347"/>
      <c r="DJ118" s="347"/>
      <c r="DK118" s="347"/>
      <c r="DL118" s="347"/>
      <c r="DM118" s="347"/>
      <c r="DN118" s="347"/>
      <c r="DO118" s="347"/>
      <c r="DP118" s="347"/>
      <c r="DQ118" s="347"/>
      <c r="DR118" s="347"/>
      <c r="DS118" s="347"/>
      <c r="DT118" s="347"/>
      <c r="DU118" s="347"/>
      <c r="DV118" s="347"/>
      <c r="DW118" s="347"/>
      <c r="DX118" s="347"/>
      <c r="DY118" s="347"/>
      <c r="DZ118" s="347"/>
      <c r="EA118" s="347"/>
      <c r="EB118" s="347"/>
      <c r="EC118" s="347"/>
      <c r="ED118" s="347"/>
      <c r="EE118" s="347"/>
      <c r="EF118" s="347"/>
      <c r="EG118" s="347"/>
      <c r="EH118" s="347"/>
      <c r="EI118" s="347"/>
      <c r="EJ118" s="347"/>
      <c r="EK118" s="347"/>
      <c r="EL118" s="347"/>
      <c r="EM118" s="347"/>
      <c r="EN118" s="347"/>
      <c r="EO118" s="347"/>
      <c r="EP118" s="347"/>
      <c r="EQ118" s="347"/>
      <c r="ER118" s="347"/>
      <c r="ES118" s="347"/>
      <c r="ET118" s="347"/>
      <c r="EU118" s="347"/>
      <c r="EV118" s="347"/>
      <c r="EW118" s="347"/>
      <c r="EX118" s="347"/>
      <c r="EY118" s="347"/>
      <c r="EZ118" s="347"/>
      <c r="FA118" s="347"/>
      <c r="FB118" s="347"/>
      <c r="FC118" s="347"/>
      <c r="FD118" s="347"/>
      <c r="FE118" s="347"/>
      <c r="FF118" s="347"/>
    </row>
    <row r="119" spans="2:162" s="366" customFormat="1" x14ac:dyDescent="0.3">
      <c r="B119" s="367"/>
      <c r="C119" s="367"/>
      <c r="D119" s="367"/>
      <c r="E119" s="36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347"/>
      <c r="AY119" s="347"/>
      <c r="AZ119" s="347"/>
      <c r="BA119" s="347"/>
      <c r="BB119" s="347"/>
      <c r="BC119" s="347"/>
      <c r="BD119" s="347"/>
      <c r="BE119" s="347"/>
      <c r="BF119" s="347"/>
      <c r="BG119" s="347"/>
      <c r="BH119" s="347"/>
      <c r="BI119" s="347"/>
      <c r="BJ119" s="347"/>
      <c r="BK119" s="347"/>
      <c r="BL119" s="347"/>
      <c r="BM119" s="347"/>
      <c r="BN119" s="347"/>
      <c r="BO119" s="347"/>
      <c r="BP119" s="347"/>
      <c r="BQ119" s="347"/>
      <c r="BR119" s="347"/>
      <c r="BS119" s="347"/>
      <c r="BT119" s="347"/>
      <c r="BU119" s="347"/>
      <c r="BV119" s="347"/>
      <c r="BW119" s="347"/>
      <c r="BX119" s="347"/>
      <c r="BY119" s="347"/>
      <c r="BZ119" s="347"/>
      <c r="CA119" s="347"/>
      <c r="CB119" s="347"/>
      <c r="CC119" s="347"/>
      <c r="CD119" s="347"/>
      <c r="CE119" s="347"/>
      <c r="CF119" s="347"/>
      <c r="CG119" s="347"/>
      <c r="CH119" s="347"/>
      <c r="CI119" s="347"/>
      <c r="CJ119" s="347"/>
      <c r="CK119" s="347"/>
      <c r="CL119" s="347"/>
      <c r="CM119" s="347"/>
      <c r="CN119" s="347"/>
      <c r="CO119" s="347"/>
      <c r="CP119" s="347"/>
      <c r="CQ119" s="347"/>
      <c r="CR119" s="347"/>
      <c r="CS119" s="347"/>
      <c r="CT119" s="347"/>
      <c r="CU119" s="347"/>
      <c r="CV119" s="347"/>
      <c r="CW119" s="347"/>
      <c r="CX119" s="347"/>
      <c r="CY119" s="347"/>
      <c r="CZ119" s="347"/>
      <c r="DA119" s="347"/>
      <c r="DB119" s="347"/>
      <c r="DC119" s="347"/>
      <c r="DD119" s="347"/>
      <c r="DE119" s="347"/>
      <c r="DF119" s="347"/>
      <c r="DG119" s="347"/>
      <c r="DH119" s="347"/>
      <c r="DI119" s="347"/>
      <c r="DJ119" s="347"/>
      <c r="DK119" s="347"/>
      <c r="DL119" s="347"/>
      <c r="DM119" s="347"/>
      <c r="DN119" s="347"/>
      <c r="DO119" s="347"/>
      <c r="DP119" s="347"/>
      <c r="DQ119" s="347"/>
      <c r="DR119" s="347"/>
      <c r="DS119" s="347"/>
      <c r="DT119" s="347"/>
      <c r="DU119" s="347"/>
      <c r="DV119" s="347"/>
      <c r="DW119" s="347"/>
      <c r="DX119" s="347"/>
      <c r="DY119" s="347"/>
      <c r="DZ119" s="347"/>
      <c r="EA119" s="347"/>
      <c r="EB119" s="347"/>
      <c r="EC119" s="347"/>
      <c r="ED119" s="347"/>
      <c r="EE119" s="347"/>
      <c r="EF119" s="347"/>
      <c r="EG119" s="347"/>
      <c r="EH119" s="347"/>
      <c r="EI119" s="347"/>
      <c r="EJ119" s="347"/>
      <c r="EK119" s="347"/>
      <c r="EL119" s="347"/>
      <c r="EM119" s="347"/>
      <c r="EN119" s="347"/>
      <c r="EO119" s="347"/>
      <c r="EP119" s="347"/>
      <c r="EQ119" s="347"/>
      <c r="ER119" s="347"/>
      <c r="ES119" s="347"/>
      <c r="ET119" s="347"/>
      <c r="EU119" s="347"/>
      <c r="EV119" s="347"/>
      <c r="EW119" s="347"/>
      <c r="EX119" s="347"/>
      <c r="EY119" s="347"/>
      <c r="EZ119" s="347"/>
      <c r="FA119" s="347"/>
      <c r="FB119" s="347"/>
      <c r="FC119" s="347"/>
      <c r="FD119" s="347"/>
      <c r="FE119" s="347"/>
      <c r="FF119" s="347"/>
    </row>
    <row r="120" spans="2:162" s="366" customFormat="1" x14ac:dyDescent="0.3">
      <c r="B120" s="367"/>
      <c r="C120" s="367"/>
      <c r="D120" s="367"/>
      <c r="E120" s="36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7"/>
      <c r="BB120" s="347"/>
      <c r="BC120" s="347"/>
      <c r="BD120" s="347"/>
      <c r="BE120" s="347"/>
      <c r="BF120" s="347"/>
      <c r="BG120" s="347"/>
      <c r="BH120" s="347"/>
      <c r="BI120" s="347"/>
      <c r="BJ120" s="347"/>
      <c r="BK120" s="347"/>
      <c r="BL120" s="347"/>
      <c r="BM120" s="347"/>
      <c r="BN120" s="347"/>
      <c r="BO120" s="347"/>
      <c r="BP120" s="347"/>
      <c r="BQ120" s="347"/>
      <c r="BR120" s="347"/>
      <c r="BS120" s="347"/>
      <c r="BT120" s="347"/>
      <c r="BU120" s="347"/>
      <c r="BV120" s="347"/>
      <c r="BW120" s="347"/>
      <c r="BX120" s="347"/>
      <c r="BY120" s="347"/>
      <c r="BZ120" s="347"/>
      <c r="CA120" s="347"/>
      <c r="CB120" s="347"/>
      <c r="CC120" s="347"/>
      <c r="CD120" s="347"/>
      <c r="CE120" s="347"/>
      <c r="CF120" s="347"/>
      <c r="CG120" s="347"/>
      <c r="CH120" s="347"/>
      <c r="CI120" s="347"/>
      <c r="CJ120" s="347"/>
      <c r="CK120" s="347"/>
      <c r="CL120" s="347"/>
      <c r="CM120" s="347"/>
      <c r="CN120" s="347"/>
      <c r="CO120" s="347"/>
      <c r="CP120" s="347"/>
      <c r="CQ120" s="347"/>
      <c r="CR120" s="347"/>
      <c r="CS120" s="347"/>
      <c r="CT120" s="347"/>
      <c r="CU120" s="347"/>
      <c r="CV120" s="347"/>
      <c r="CW120" s="347"/>
      <c r="CX120" s="347"/>
      <c r="CY120" s="347"/>
      <c r="CZ120" s="347"/>
      <c r="DA120" s="347"/>
      <c r="DB120" s="347"/>
      <c r="DC120" s="347"/>
      <c r="DD120" s="347"/>
      <c r="DE120" s="347"/>
      <c r="DF120" s="347"/>
      <c r="DG120" s="347"/>
      <c r="DH120" s="347"/>
      <c r="DI120" s="347"/>
      <c r="DJ120" s="347"/>
      <c r="DK120" s="347"/>
      <c r="DL120" s="347"/>
      <c r="DM120" s="347"/>
      <c r="DN120" s="347"/>
      <c r="DO120" s="347"/>
      <c r="DP120" s="347"/>
      <c r="DQ120" s="347"/>
      <c r="DR120" s="347"/>
      <c r="DS120" s="347"/>
      <c r="DT120" s="347"/>
      <c r="DU120" s="347"/>
      <c r="DV120" s="347"/>
      <c r="DW120" s="347"/>
      <c r="DX120" s="347"/>
      <c r="DY120" s="347"/>
      <c r="DZ120" s="347"/>
      <c r="EA120" s="347"/>
      <c r="EB120" s="347"/>
      <c r="EC120" s="347"/>
      <c r="ED120" s="347"/>
      <c r="EE120" s="347"/>
      <c r="EF120" s="347"/>
      <c r="EG120" s="347"/>
      <c r="EH120" s="347"/>
      <c r="EI120" s="347"/>
      <c r="EJ120" s="347"/>
      <c r="EK120" s="347"/>
      <c r="EL120" s="347"/>
      <c r="EM120" s="347"/>
      <c r="EN120" s="347"/>
      <c r="EO120" s="347"/>
      <c r="EP120" s="347"/>
      <c r="EQ120" s="347"/>
      <c r="ER120" s="347"/>
      <c r="ES120" s="347"/>
      <c r="ET120" s="347"/>
      <c r="EU120" s="347"/>
      <c r="EV120" s="347"/>
      <c r="EW120" s="347"/>
      <c r="EX120" s="347"/>
      <c r="EY120" s="347"/>
      <c r="EZ120" s="347"/>
      <c r="FA120" s="347"/>
      <c r="FB120" s="347"/>
      <c r="FC120" s="347"/>
      <c r="FD120" s="347"/>
      <c r="FE120" s="347"/>
      <c r="FF120" s="347"/>
    </row>
    <row r="121" spans="2:162" s="366" customFormat="1" x14ac:dyDescent="0.3">
      <c r="B121" s="367"/>
      <c r="C121" s="367"/>
      <c r="D121" s="367"/>
      <c r="E121" s="36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7"/>
      <c r="BB121" s="347"/>
      <c r="BC121" s="347"/>
      <c r="BD121" s="347"/>
      <c r="BE121" s="347"/>
      <c r="BF121" s="347"/>
      <c r="BG121" s="347"/>
      <c r="BH121" s="347"/>
      <c r="BI121" s="347"/>
      <c r="BJ121" s="347"/>
      <c r="BK121" s="347"/>
      <c r="BL121" s="347"/>
      <c r="BM121" s="347"/>
      <c r="BN121" s="347"/>
      <c r="BO121" s="347"/>
      <c r="BP121" s="347"/>
      <c r="BQ121" s="347"/>
      <c r="BR121" s="347"/>
      <c r="BS121" s="347"/>
      <c r="BT121" s="347"/>
      <c r="BU121" s="347"/>
      <c r="BV121" s="347"/>
      <c r="BW121" s="347"/>
      <c r="BX121" s="347"/>
      <c r="BY121" s="347"/>
      <c r="BZ121" s="347"/>
      <c r="CA121" s="347"/>
      <c r="CB121" s="347"/>
      <c r="CC121" s="347"/>
      <c r="CD121" s="347"/>
      <c r="CE121" s="347"/>
      <c r="CF121" s="347"/>
      <c r="CG121" s="347"/>
      <c r="CH121" s="347"/>
      <c r="CI121" s="347"/>
      <c r="CJ121" s="347"/>
      <c r="CK121" s="347"/>
      <c r="CL121" s="347"/>
      <c r="CM121" s="347"/>
      <c r="CN121" s="347"/>
      <c r="CO121" s="347"/>
      <c r="CP121" s="347"/>
      <c r="CQ121" s="347"/>
      <c r="CR121" s="347"/>
      <c r="CS121" s="347"/>
      <c r="CT121" s="347"/>
      <c r="CU121" s="347"/>
      <c r="CV121" s="347"/>
      <c r="CW121" s="347"/>
      <c r="CX121" s="347"/>
      <c r="CY121" s="347"/>
      <c r="CZ121" s="347"/>
      <c r="DA121" s="347"/>
      <c r="DB121" s="347"/>
      <c r="DC121" s="347"/>
      <c r="DD121" s="347"/>
      <c r="DE121" s="347"/>
      <c r="DF121" s="347"/>
      <c r="DG121" s="347"/>
      <c r="DH121" s="347"/>
      <c r="DI121" s="347"/>
      <c r="DJ121" s="347"/>
      <c r="DK121" s="347"/>
      <c r="DL121" s="347"/>
      <c r="DM121" s="347"/>
      <c r="DN121" s="347"/>
      <c r="DO121" s="347"/>
      <c r="DP121" s="347"/>
      <c r="DQ121" s="347"/>
      <c r="DR121" s="347"/>
      <c r="DS121" s="347"/>
      <c r="DT121" s="347"/>
      <c r="DU121" s="347"/>
      <c r="DV121" s="347"/>
      <c r="DW121" s="347"/>
      <c r="DX121" s="347"/>
      <c r="DY121" s="347"/>
      <c r="DZ121" s="347"/>
      <c r="EA121" s="347"/>
      <c r="EB121" s="347"/>
      <c r="EC121" s="347"/>
      <c r="ED121" s="347"/>
      <c r="EE121" s="347"/>
      <c r="EF121" s="347"/>
      <c r="EG121" s="347"/>
      <c r="EH121" s="347"/>
      <c r="EI121" s="347"/>
      <c r="EJ121" s="347"/>
      <c r="EK121" s="347"/>
      <c r="EL121" s="347"/>
      <c r="EM121" s="347"/>
      <c r="EN121" s="347"/>
      <c r="EO121" s="347"/>
      <c r="EP121" s="347"/>
      <c r="EQ121" s="347"/>
      <c r="ER121" s="347"/>
      <c r="ES121" s="347"/>
      <c r="ET121" s="347"/>
      <c r="EU121" s="347"/>
      <c r="EV121" s="347"/>
      <c r="EW121" s="347"/>
      <c r="EX121" s="347"/>
      <c r="EY121" s="347"/>
      <c r="EZ121" s="347"/>
      <c r="FA121" s="347"/>
      <c r="FB121" s="347"/>
      <c r="FC121" s="347"/>
      <c r="FD121" s="347"/>
      <c r="FE121" s="347"/>
      <c r="FF121" s="347"/>
    </row>
    <row r="122" spans="2:162" s="366" customFormat="1" x14ac:dyDescent="0.3">
      <c r="B122" s="367"/>
      <c r="C122" s="367"/>
      <c r="D122" s="367"/>
      <c r="E122" s="36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347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7"/>
      <c r="BB122" s="347"/>
      <c r="BC122" s="347"/>
      <c r="BD122" s="347"/>
      <c r="BE122" s="347"/>
      <c r="BF122" s="347"/>
      <c r="BG122" s="347"/>
      <c r="BH122" s="347"/>
      <c r="BI122" s="347"/>
      <c r="BJ122" s="347"/>
      <c r="BK122" s="347"/>
      <c r="BL122" s="347"/>
      <c r="BM122" s="347"/>
      <c r="BN122" s="347"/>
      <c r="BO122" s="347"/>
      <c r="BP122" s="347"/>
      <c r="BQ122" s="347"/>
      <c r="BR122" s="347"/>
      <c r="BS122" s="347"/>
      <c r="BT122" s="347"/>
      <c r="BU122" s="347"/>
      <c r="BV122" s="347"/>
      <c r="BW122" s="347"/>
      <c r="BX122" s="347"/>
      <c r="BY122" s="347"/>
      <c r="BZ122" s="347"/>
      <c r="CA122" s="347"/>
      <c r="CB122" s="347"/>
      <c r="CC122" s="347"/>
      <c r="CD122" s="347"/>
      <c r="CE122" s="347"/>
      <c r="CF122" s="347"/>
      <c r="CG122" s="347"/>
      <c r="CH122" s="347"/>
      <c r="CI122" s="347"/>
      <c r="CJ122" s="347"/>
      <c r="CK122" s="347"/>
      <c r="CL122" s="347"/>
      <c r="CM122" s="347"/>
      <c r="CN122" s="347"/>
      <c r="CO122" s="347"/>
      <c r="CP122" s="347"/>
      <c r="CQ122" s="347"/>
      <c r="CR122" s="347"/>
      <c r="CS122" s="347"/>
      <c r="CT122" s="347"/>
      <c r="CU122" s="347"/>
      <c r="CV122" s="347"/>
      <c r="CW122" s="347"/>
      <c r="CX122" s="347"/>
      <c r="CY122" s="347"/>
      <c r="CZ122" s="347"/>
      <c r="DA122" s="347"/>
      <c r="DB122" s="347"/>
      <c r="DC122" s="347"/>
      <c r="DD122" s="347"/>
      <c r="DE122" s="347"/>
      <c r="DF122" s="347"/>
      <c r="DG122" s="347"/>
      <c r="DH122" s="347"/>
      <c r="DI122" s="347"/>
      <c r="DJ122" s="347"/>
      <c r="DK122" s="347"/>
      <c r="DL122" s="347"/>
      <c r="DM122" s="347"/>
      <c r="DN122" s="347"/>
      <c r="DO122" s="347"/>
      <c r="DP122" s="347"/>
      <c r="DQ122" s="347"/>
      <c r="DR122" s="347"/>
      <c r="DS122" s="347"/>
      <c r="DT122" s="347"/>
      <c r="DU122" s="347"/>
      <c r="DV122" s="347"/>
      <c r="DW122" s="347"/>
      <c r="DX122" s="347"/>
      <c r="DY122" s="347"/>
      <c r="DZ122" s="347"/>
      <c r="EA122" s="347"/>
      <c r="EB122" s="347"/>
      <c r="EC122" s="347"/>
      <c r="ED122" s="347"/>
      <c r="EE122" s="347"/>
      <c r="EF122" s="347"/>
      <c r="EG122" s="347"/>
      <c r="EH122" s="347"/>
      <c r="EI122" s="347"/>
      <c r="EJ122" s="347"/>
      <c r="EK122" s="347"/>
      <c r="EL122" s="347"/>
      <c r="EM122" s="347"/>
      <c r="EN122" s="347"/>
      <c r="EO122" s="347"/>
      <c r="EP122" s="347"/>
      <c r="EQ122" s="347"/>
      <c r="ER122" s="347"/>
      <c r="ES122" s="347"/>
      <c r="ET122" s="347"/>
      <c r="EU122" s="347"/>
      <c r="EV122" s="347"/>
      <c r="EW122" s="347"/>
      <c r="EX122" s="347"/>
      <c r="EY122" s="347"/>
      <c r="EZ122" s="347"/>
      <c r="FA122" s="347"/>
      <c r="FB122" s="347"/>
      <c r="FC122" s="347"/>
      <c r="FD122" s="347"/>
      <c r="FE122" s="347"/>
      <c r="FF122" s="347"/>
    </row>
    <row r="123" spans="2:162" s="366" customFormat="1" x14ac:dyDescent="0.3">
      <c r="B123" s="368"/>
      <c r="C123" s="368"/>
      <c r="D123" s="368"/>
      <c r="E123" s="368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347"/>
      <c r="AY123" s="347"/>
      <c r="AZ123" s="347"/>
      <c r="BA123" s="347"/>
      <c r="BB123" s="347"/>
      <c r="BC123" s="347"/>
      <c r="BD123" s="347"/>
      <c r="BE123" s="347"/>
      <c r="BF123" s="347"/>
      <c r="BG123" s="347"/>
      <c r="BH123" s="347"/>
      <c r="BI123" s="347"/>
      <c r="BJ123" s="347"/>
      <c r="BK123" s="347"/>
      <c r="BL123" s="347"/>
      <c r="BM123" s="347"/>
      <c r="BN123" s="347"/>
      <c r="BO123" s="347"/>
      <c r="BP123" s="347"/>
      <c r="BQ123" s="347"/>
      <c r="BR123" s="347"/>
      <c r="BS123" s="347"/>
      <c r="BT123" s="347"/>
      <c r="BU123" s="347"/>
      <c r="BV123" s="347"/>
      <c r="BW123" s="347"/>
      <c r="BX123" s="347"/>
      <c r="BY123" s="347"/>
      <c r="BZ123" s="347"/>
      <c r="CA123" s="347"/>
      <c r="CB123" s="347"/>
      <c r="CC123" s="347"/>
      <c r="CD123" s="347"/>
      <c r="CE123" s="347"/>
      <c r="CF123" s="347"/>
      <c r="CG123" s="347"/>
      <c r="CH123" s="347"/>
      <c r="CI123" s="347"/>
      <c r="CJ123" s="347"/>
      <c r="CK123" s="347"/>
      <c r="CL123" s="347"/>
      <c r="CM123" s="347"/>
      <c r="CN123" s="347"/>
      <c r="CO123" s="347"/>
      <c r="CP123" s="347"/>
      <c r="CQ123" s="347"/>
      <c r="CR123" s="347"/>
      <c r="CS123" s="347"/>
      <c r="CT123" s="347"/>
      <c r="CU123" s="347"/>
      <c r="CV123" s="347"/>
      <c r="CW123" s="347"/>
      <c r="CX123" s="347"/>
      <c r="CY123" s="347"/>
      <c r="CZ123" s="347"/>
      <c r="DA123" s="347"/>
      <c r="DB123" s="347"/>
      <c r="DC123" s="347"/>
      <c r="DD123" s="347"/>
      <c r="DE123" s="347"/>
      <c r="DF123" s="347"/>
      <c r="DG123" s="347"/>
      <c r="DH123" s="347"/>
      <c r="DI123" s="347"/>
      <c r="DJ123" s="347"/>
      <c r="DK123" s="347"/>
      <c r="DL123" s="347"/>
      <c r="DM123" s="347"/>
      <c r="DN123" s="347"/>
      <c r="DO123" s="347"/>
      <c r="DP123" s="347"/>
      <c r="DQ123" s="347"/>
      <c r="DR123" s="347"/>
      <c r="DS123" s="347"/>
      <c r="DT123" s="347"/>
      <c r="DU123" s="347"/>
      <c r="DV123" s="347"/>
      <c r="DW123" s="347"/>
      <c r="DX123" s="347"/>
      <c r="DY123" s="347"/>
      <c r="DZ123" s="347"/>
      <c r="EA123" s="347"/>
      <c r="EB123" s="347"/>
      <c r="EC123" s="347"/>
      <c r="ED123" s="347"/>
      <c r="EE123" s="347"/>
      <c r="EF123" s="347"/>
      <c r="EG123" s="347"/>
      <c r="EH123" s="347"/>
      <c r="EI123" s="347"/>
      <c r="EJ123" s="347"/>
      <c r="EK123" s="347"/>
      <c r="EL123" s="347"/>
      <c r="EM123" s="347"/>
      <c r="EN123" s="347"/>
      <c r="EO123" s="347"/>
      <c r="EP123" s="347"/>
      <c r="EQ123" s="347"/>
      <c r="ER123" s="347"/>
      <c r="ES123" s="347"/>
      <c r="ET123" s="347"/>
      <c r="EU123" s="347"/>
      <c r="EV123" s="347"/>
      <c r="EW123" s="347"/>
      <c r="EX123" s="347"/>
      <c r="EY123" s="347"/>
      <c r="EZ123" s="347"/>
      <c r="FA123" s="347"/>
      <c r="FB123" s="347"/>
      <c r="FC123" s="347"/>
      <c r="FD123" s="347"/>
      <c r="FE123" s="347"/>
      <c r="FF123" s="347"/>
    </row>
    <row r="124" spans="2:162" s="366" customFormat="1" x14ac:dyDescent="0.3">
      <c r="B124" s="367"/>
      <c r="C124" s="367"/>
      <c r="D124" s="367"/>
      <c r="E124" s="36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7"/>
      <c r="AP124" s="347"/>
      <c r="AQ124" s="347"/>
      <c r="AR124" s="347"/>
      <c r="AS124" s="347"/>
      <c r="AT124" s="347"/>
      <c r="AU124" s="347"/>
      <c r="AV124" s="347"/>
      <c r="AW124" s="347"/>
      <c r="AX124" s="347"/>
      <c r="AY124" s="347"/>
      <c r="AZ124" s="347"/>
      <c r="BA124" s="347"/>
      <c r="BB124" s="347"/>
      <c r="BC124" s="347"/>
      <c r="BD124" s="347"/>
      <c r="BE124" s="347"/>
      <c r="BF124" s="347"/>
      <c r="BG124" s="347"/>
      <c r="BH124" s="347"/>
      <c r="BI124" s="347"/>
      <c r="BJ124" s="347"/>
      <c r="BK124" s="347"/>
      <c r="BL124" s="347"/>
      <c r="BM124" s="347"/>
      <c r="BN124" s="347"/>
      <c r="BO124" s="347"/>
      <c r="BP124" s="347"/>
      <c r="BQ124" s="347"/>
      <c r="BR124" s="347"/>
      <c r="BS124" s="347"/>
      <c r="BT124" s="347"/>
      <c r="BU124" s="347"/>
      <c r="BV124" s="347"/>
      <c r="BW124" s="347"/>
      <c r="BX124" s="347"/>
      <c r="BY124" s="347"/>
      <c r="BZ124" s="347"/>
      <c r="CA124" s="347"/>
      <c r="CB124" s="347"/>
      <c r="CC124" s="347"/>
      <c r="CD124" s="347"/>
      <c r="CE124" s="347"/>
      <c r="CF124" s="347"/>
      <c r="CG124" s="347"/>
      <c r="CH124" s="347"/>
      <c r="CI124" s="347"/>
      <c r="CJ124" s="347"/>
      <c r="CK124" s="347"/>
      <c r="CL124" s="347"/>
      <c r="CM124" s="347"/>
      <c r="CN124" s="347"/>
      <c r="CO124" s="347"/>
      <c r="CP124" s="347"/>
      <c r="CQ124" s="347"/>
      <c r="CR124" s="347"/>
      <c r="CS124" s="347"/>
      <c r="CT124" s="347"/>
      <c r="CU124" s="347"/>
      <c r="CV124" s="347"/>
      <c r="CW124" s="347"/>
      <c r="CX124" s="347"/>
      <c r="CY124" s="347"/>
      <c r="CZ124" s="347"/>
      <c r="DA124" s="347"/>
      <c r="DB124" s="347"/>
      <c r="DC124" s="347"/>
      <c r="DD124" s="347"/>
      <c r="DE124" s="347"/>
      <c r="DF124" s="347"/>
      <c r="DG124" s="347"/>
      <c r="DH124" s="347"/>
      <c r="DI124" s="347"/>
      <c r="DJ124" s="347"/>
      <c r="DK124" s="347"/>
      <c r="DL124" s="347"/>
      <c r="DM124" s="347"/>
      <c r="DN124" s="347"/>
      <c r="DO124" s="347"/>
      <c r="DP124" s="347"/>
      <c r="DQ124" s="347"/>
      <c r="DR124" s="347"/>
      <c r="DS124" s="347"/>
      <c r="DT124" s="347"/>
      <c r="DU124" s="347"/>
      <c r="DV124" s="347"/>
      <c r="DW124" s="347"/>
      <c r="DX124" s="347"/>
      <c r="DY124" s="347"/>
      <c r="DZ124" s="347"/>
      <c r="EA124" s="347"/>
      <c r="EB124" s="347"/>
      <c r="EC124" s="347"/>
      <c r="ED124" s="347"/>
      <c r="EE124" s="347"/>
      <c r="EF124" s="347"/>
      <c r="EG124" s="347"/>
      <c r="EH124" s="347"/>
      <c r="EI124" s="347"/>
      <c r="EJ124" s="347"/>
      <c r="EK124" s="347"/>
      <c r="EL124" s="347"/>
      <c r="EM124" s="347"/>
      <c r="EN124" s="347"/>
      <c r="EO124" s="347"/>
      <c r="EP124" s="347"/>
      <c r="EQ124" s="347"/>
      <c r="ER124" s="347"/>
      <c r="ES124" s="347"/>
      <c r="ET124" s="347"/>
      <c r="EU124" s="347"/>
      <c r="EV124" s="347"/>
      <c r="EW124" s="347"/>
      <c r="EX124" s="347"/>
      <c r="EY124" s="347"/>
      <c r="EZ124" s="347"/>
      <c r="FA124" s="347"/>
      <c r="FB124" s="347"/>
      <c r="FC124" s="347"/>
      <c r="FD124" s="347"/>
      <c r="FE124" s="347"/>
      <c r="FF124" s="347"/>
    </row>
    <row r="125" spans="2:162" s="366" customFormat="1" x14ac:dyDescent="0.3">
      <c r="B125" s="367"/>
      <c r="C125" s="367"/>
      <c r="D125" s="367"/>
      <c r="E125" s="36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47"/>
      <c r="BE125" s="347"/>
      <c r="BF125" s="347"/>
      <c r="BG125" s="347"/>
      <c r="BH125" s="347"/>
      <c r="BI125" s="347"/>
      <c r="BJ125" s="347"/>
      <c r="BK125" s="347"/>
      <c r="BL125" s="347"/>
      <c r="BM125" s="347"/>
      <c r="BN125" s="347"/>
      <c r="BO125" s="347"/>
      <c r="BP125" s="347"/>
      <c r="BQ125" s="347"/>
      <c r="BR125" s="347"/>
      <c r="BS125" s="347"/>
      <c r="BT125" s="347"/>
      <c r="BU125" s="347"/>
      <c r="BV125" s="347"/>
      <c r="BW125" s="347"/>
      <c r="BX125" s="347"/>
      <c r="BY125" s="347"/>
      <c r="BZ125" s="347"/>
      <c r="CA125" s="347"/>
      <c r="CB125" s="347"/>
      <c r="CC125" s="347"/>
      <c r="CD125" s="347"/>
      <c r="CE125" s="347"/>
      <c r="CF125" s="347"/>
      <c r="CG125" s="347"/>
      <c r="CH125" s="347"/>
      <c r="CI125" s="347"/>
      <c r="CJ125" s="347"/>
      <c r="CK125" s="347"/>
      <c r="CL125" s="347"/>
      <c r="CM125" s="347"/>
      <c r="CN125" s="347"/>
      <c r="CO125" s="347"/>
      <c r="CP125" s="347"/>
      <c r="CQ125" s="347"/>
      <c r="CR125" s="347"/>
      <c r="CS125" s="347"/>
      <c r="CT125" s="347"/>
      <c r="CU125" s="347"/>
      <c r="CV125" s="347"/>
      <c r="CW125" s="347"/>
      <c r="CX125" s="347"/>
      <c r="CY125" s="347"/>
      <c r="CZ125" s="347"/>
      <c r="DA125" s="347"/>
      <c r="DB125" s="347"/>
      <c r="DC125" s="347"/>
      <c r="DD125" s="347"/>
      <c r="DE125" s="347"/>
      <c r="DF125" s="347"/>
      <c r="DG125" s="347"/>
      <c r="DH125" s="347"/>
      <c r="DI125" s="347"/>
      <c r="DJ125" s="347"/>
      <c r="DK125" s="347"/>
      <c r="DL125" s="347"/>
      <c r="DM125" s="347"/>
      <c r="DN125" s="347"/>
      <c r="DO125" s="347"/>
      <c r="DP125" s="347"/>
      <c r="DQ125" s="347"/>
      <c r="DR125" s="347"/>
      <c r="DS125" s="347"/>
      <c r="DT125" s="347"/>
      <c r="DU125" s="347"/>
      <c r="DV125" s="347"/>
      <c r="DW125" s="347"/>
      <c r="DX125" s="347"/>
      <c r="DY125" s="347"/>
      <c r="DZ125" s="347"/>
      <c r="EA125" s="347"/>
      <c r="EB125" s="347"/>
      <c r="EC125" s="347"/>
      <c r="ED125" s="347"/>
      <c r="EE125" s="347"/>
      <c r="EF125" s="347"/>
      <c r="EG125" s="347"/>
      <c r="EH125" s="347"/>
      <c r="EI125" s="347"/>
      <c r="EJ125" s="347"/>
      <c r="EK125" s="347"/>
      <c r="EL125" s="347"/>
      <c r="EM125" s="347"/>
      <c r="EN125" s="347"/>
      <c r="EO125" s="347"/>
      <c r="EP125" s="347"/>
      <c r="EQ125" s="347"/>
      <c r="ER125" s="347"/>
      <c r="ES125" s="347"/>
      <c r="ET125" s="347"/>
      <c r="EU125" s="347"/>
      <c r="EV125" s="347"/>
      <c r="EW125" s="347"/>
      <c r="EX125" s="347"/>
      <c r="EY125" s="347"/>
      <c r="EZ125" s="347"/>
      <c r="FA125" s="347"/>
      <c r="FB125" s="347"/>
      <c r="FC125" s="347"/>
      <c r="FD125" s="347"/>
      <c r="FE125" s="347"/>
      <c r="FF125" s="347"/>
    </row>
    <row r="126" spans="2:162" s="366" customFormat="1" x14ac:dyDescent="0.3">
      <c r="B126" s="367"/>
      <c r="C126" s="367"/>
      <c r="D126" s="367"/>
      <c r="E126" s="36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347"/>
      <c r="AZ126" s="347"/>
      <c r="BA126" s="347"/>
      <c r="BB126" s="347"/>
      <c r="BC126" s="347"/>
      <c r="BD126" s="347"/>
      <c r="BE126" s="347"/>
      <c r="BF126" s="347"/>
      <c r="BG126" s="347"/>
      <c r="BH126" s="347"/>
      <c r="BI126" s="347"/>
      <c r="BJ126" s="347"/>
      <c r="BK126" s="347"/>
      <c r="BL126" s="347"/>
      <c r="BM126" s="347"/>
      <c r="BN126" s="347"/>
      <c r="BO126" s="347"/>
      <c r="BP126" s="347"/>
      <c r="BQ126" s="347"/>
      <c r="BR126" s="347"/>
      <c r="BS126" s="347"/>
      <c r="BT126" s="347"/>
      <c r="BU126" s="347"/>
      <c r="BV126" s="347"/>
      <c r="BW126" s="347"/>
      <c r="BX126" s="347"/>
      <c r="BY126" s="347"/>
      <c r="BZ126" s="347"/>
      <c r="CA126" s="347"/>
      <c r="CB126" s="347"/>
      <c r="CC126" s="347"/>
      <c r="CD126" s="347"/>
      <c r="CE126" s="347"/>
      <c r="CF126" s="347"/>
      <c r="CG126" s="347"/>
      <c r="CH126" s="347"/>
      <c r="CI126" s="347"/>
      <c r="CJ126" s="347"/>
      <c r="CK126" s="347"/>
      <c r="CL126" s="347"/>
      <c r="CM126" s="347"/>
      <c r="CN126" s="347"/>
      <c r="CO126" s="347"/>
      <c r="CP126" s="347"/>
      <c r="CQ126" s="347"/>
      <c r="CR126" s="347"/>
      <c r="CS126" s="347"/>
      <c r="CT126" s="347"/>
      <c r="CU126" s="347"/>
      <c r="CV126" s="347"/>
      <c r="CW126" s="347"/>
      <c r="CX126" s="347"/>
      <c r="CY126" s="347"/>
      <c r="CZ126" s="347"/>
      <c r="DA126" s="347"/>
      <c r="DB126" s="347"/>
      <c r="DC126" s="347"/>
      <c r="DD126" s="347"/>
      <c r="DE126" s="347"/>
      <c r="DF126" s="347"/>
      <c r="DG126" s="347"/>
      <c r="DH126" s="347"/>
      <c r="DI126" s="347"/>
      <c r="DJ126" s="347"/>
      <c r="DK126" s="347"/>
      <c r="DL126" s="347"/>
      <c r="DM126" s="347"/>
      <c r="DN126" s="347"/>
      <c r="DO126" s="347"/>
      <c r="DP126" s="347"/>
      <c r="DQ126" s="347"/>
      <c r="DR126" s="347"/>
      <c r="DS126" s="347"/>
      <c r="DT126" s="347"/>
      <c r="DU126" s="347"/>
      <c r="DV126" s="347"/>
      <c r="DW126" s="347"/>
      <c r="DX126" s="347"/>
      <c r="DY126" s="347"/>
      <c r="DZ126" s="347"/>
      <c r="EA126" s="347"/>
      <c r="EB126" s="347"/>
      <c r="EC126" s="347"/>
      <c r="ED126" s="347"/>
      <c r="EE126" s="347"/>
      <c r="EF126" s="347"/>
      <c r="EG126" s="347"/>
      <c r="EH126" s="347"/>
      <c r="EI126" s="347"/>
      <c r="EJ126" s="347"/>
      <c r="EK126" s="347"/>
      <c r="EL126" s="347"/>
      <c r="EM126" s="347"/>
      <c r="EN126" s="347"/>
      <c r="EO126" s="347"/>
      <c r="EP126" s="347"/>
      <c r="EQ126" s="347"/>
      <c r="ER126" s="347"/>
      <c r="ES126" s="347"/>
      <c r="ET126" s="347"/>
      <c r="EU126" s="347"/>
      <c r="EV126" s="347"/>
      <c r="EW126" s="347"/>
      <c r="EX126" s="347"/>
      <c r="EY126" s="347"/>
      <c r="EZ126" s="347"/>
      <c r="FA126" s="347"/>
      <c r="FB126" s="347"/>
      <c r="FC126" s="347"/>
      <c r="FD126" s="347"/>
      <c r="FE126" s="347"/>
      <c r="FF126" s="347"/>
    </row>
  </sheetData>
  <sheetProtection insertColumns="0" insertRows="0" autoFilter="0"/>
  <mergeCells count="20">
    <mergeCell ref="G6:G7"/>
    <mergeCell ref="H6:H7"/>
    <mergeCell ref="J6:J7"/>
    <mergeCell ref="K6:K7"/>
    <mergeCell ref="A1:K1"/>
    <mergeCell ref="A2:K2"/>
    <mergeCell ref="A3:A7"/>
    <mergeCell ref="B3:B7"/>
    <mergeCell ref="C3:E4"/>
    <mergeCell ref="F3:K3"/>
    <mergeCell ref="F4:H4"/>
    <mergeCell ref="I4:K4"/>
    <mergeCell ref="C5:C7"/>
    <mergeCell ref="D5:E5"/>
    <mergeCell ref="F5:F7"/>
    <mergeCell ref="G5:H5"/>
    <mergeCell ref="I5:I7"/>
    <mergeCell ref="J5:K5"/>
    <mergeCell ref="D6:D7"/>
    <mergeCell ref="E6:E7"/>
  </mergeCells>
  <printOptions horizontalCentered="1"/>
  <pageMargins left="0.59055118110236227" right="0.39370078740157483" top="0.39370078740157483" bottom="0.39370078740157483" header="0" footer="0"/>
  <pageSetup paperSize="9" scale="61" fitToHeight="0" orientation="landscape" r:id="rId1"/>
  <headerFooter alignWithMargins="0">
    <oddHeader>&amp;C&amp;"Times New Roman,обычный"&amp;12&amp;P</oddHeader>
    <firstFooter>&amp;L&amp;Z&amp;F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Q240"/>
  <sheetViews>
    <sheetView view="pageBreakPreview" zoomScaleNormal="150" zoomScaleSheetLayoutView="100" workbookViewId="0">
      <selection activeCell="B9" sqref="B9"/>
    </sheetView>
  </sheetViews>
  <sheetFormatPr defaultRowHeight="18" x14ac:dyDescent="0.25"/>
  <cols>
    <col min="1" max="1" width="6" style="43" customWidth="1"/>
    <col min="2" max="2" width="58.42578125" style="43" customWidth="1"/>
    <col min="3" max="3" width="13.140625" style="43" customWidth="1"/>
    <col min="4" max="4" width="14" style="43" customWidth="1"/>
    <col min="5" max="5" width="15" style="43" customWidth="1"/>
    <col min="6" max="256" width="9.140625" style="43"/>
    <col min="257" max="257" width="6" style="43" customWidth="1"/>
    <col min="258" max="258" width="54" style="43" customWidth="1"/>
    <col min="259" max="259" width="10.5703125" style="43" customWidth="1"/>
    <col min="260" max="261" width="10.85546875" style="43" customWidth="1"/>
    <col min="262" max="512" width="9.140625" style="43"/>
    <col min="513" max="513" width="6" style="43" customWidth="1"/>
    <col min="514" max="514" width="54" style="43" customWidth="1"/>
    <col min="515" max="515" width="10.5703125" style="43" customWidth="1"/>
    <col min="516" max="517" width="10.85546875" style="43" customWidth="1"/>
    <col min="518" max="768" width="9.140625" style="43"/>
    <col min="769" max="769" width="6" style="43" customWidth="1"/>
    <col min="770" max="770" width="54" style="43" customWidth="1"/>
    <col min="771" max="771" width="10.5703125" style="43" customWidth="1"/>
    <col min="772" max="773" width="10.85546875" style="43" customWidth="1"/>
    <col min="774" max="1024" width="9.140625" style="43"/>
    <col min="1025" max="1025" width="6" style="43" customWidth="1"/>
    <col min="1026" max="1026" width="54" style="43" customWidth="1"/>
    <col min="1027" max="1027" width="10.5703125" style="43" customWidth="1"/>
    <col min="1028" max="1029" width="10.85546875" style="43" customWidth="1"/>
    <col min="1030" max="1280" width="9.140625" style="43"/>
    <col min="1281" max="1281" width="6" style="43" customWidth="1"/>
    <col min="1282" max="1282" width="54" style="43" customWidth="1"/>
    <col min="1283" max="1283" width="10.5703125" style="43" customWidth="1"/>
    <col min="1284" max="1285" width="10.85546875" style="43" customWidth="1"/>
    <col min="1286" max="1536" width="9.140625" style="43"/>
    <col min="1537" max="1537" width="6" style="43" customWidth="1"/>
    <col min="1538" max="1538" width="54" style="43" customWidth="1"/>
    <col min="1539" max="1539" width="10.5703125" style="43" customWidth="1"/>
    <col min="1540" max="1541" width="10.85546875" style="43" customWidth="1"/>
    <col min="1542" max="1792" width="9.140625" style="43"/>
    <col min="1793" max="1793" width="6" style="43" customWidth="1"/>
    <col min="1794" max="1794" width="54" style="43" customWidth="1"/>
    <col min="1795" max="1795" width="10.5703125" style="43" customWidth="1"/>
    <col min="1796" max="1797" width="10.85546875" style="43" customWidth="1"/>
    <col min="1798" max="2048" width="9.140625" style="43"/>
    <col min="2049" max="2049" width="6" style="43" customWidth="1"/>
    <col min="2050" max="2050" width="54" style="43" customWidth="1"/>
    <col min="2051" max="2051" width="10.5703125" style="43" customWidth="1"/>
    <col min="2052" max="2053" width="10.85546875" style="43" customWidth="1"/>
    <col min="2054" max="2304" width="9.140625" style="43"/>
    <col min="2305" max="2305" width="6" style="43" customWidth="1"/>
    <col min="2306" max="2306" width="54" style="43" customWidth="1"/>
    <col min="2307" max="2307" width="10.5703125" style="43" customWidth="1"/>
    <col min="2308" max="2309" width="10.85546875" style="43" customWidth="1"/>
    <col min="2310" max="2560" width="9.140625" style="43"/>
    <col min="2561" max="2561" width="6" style="43" customWidth="1"/>
    <col min="2562" max="2562" width="54" style="43" customWidth="1"/>
    <col min="2563" max="2563" width="10.5703125" style="43" customWidth="1"/>
    <col min="2564" max="2565" width="10.85546875" style="43" customWidth="1"/>
    <col min="2566" max="2816" width="9.140625" style="43"/>
    <col min="2817" max="2817" width="6" style="43" customWidth="1"/>
    <col min="2818" max="2818" width="54" style="43" customWidth="1"/>
    <col min="2819" max="2819" width="10.5703125" style="43" customWidth="1"/>
    <col min="2820" max="2821" width="10.85546875" style="43" customWidth="1"/>
    <col min="2822" max="3072" width="9.140625" style="43"/>
    <col min="3073" max="3073" width="6" style="43" customWidth="1"/>
    <col min="3074" max="3074" width="54" style="43" customWidth="1"/>
    <col min="3075" max="3075" width="10.5703125" style="43" customWidth="1"/>
    <col min="3076" max="3077" width="10.85546875" style="43" customWidth="1"/>
    <col min="3078" max="3328" width="9.140625" style="43"/>
    <col min="3329" max="3329" width="6" style="43" customWidth="1"/>
    <col min="3330" max="3330" width="54" style="43" customWidth="1"/>
    <col min="3331" max="3331" width="10.5703125" style="43" customWidth="1"/>
    <col min="3332" max="3333" width="10.85546875" style="43" customWidth="1"/>
    <col min="3334" max="3584" width="9.140625" style="43"/>
    <col min="3585" max="3585" width="6" style="43" customWidth="1"/>
    <col min="3586" max="3586" width="54" style="43" customWidth="1"/>
    <col min="3587" max="3587" width="10.5703125" style="43" customWidth="1"/>
    <col min="3588" max="3589" width="10.85546875" style="43" customWidth="1"/>
    <col min="3590" max="3840" width="9.140625" style="43"/>
    <col min="3841" max="3841" width="6" style="43" customWidth="1"/>
    <col min="3842" max="3842" width="54" style="43" customWidth="1"/>
    <col min="3843" max="3843" width="10.5703125" style="43" customWidth="1"/>
    <col min="3844" max="3845" width="10.85546875" style="43" customWidth="1"/>
    <col min="3846" max="4096" width="9.140625" style="43"/>
    <col min="4097" max="4097" width="6" style="43" customWidth="1"/>
    <col min="4098" max="4098" width="54" style="43" customWidth="1"/>
    <col min="4099" max="4099" width="10.5703125" style="43" customWidth="1"/>
    <col min="4100" max="4101" width="10.85546875" style="43" customWidth="1"/>
    <col min="4102" max="4352" width="9.140625" style="43"/>
    <col min="4353" max="4353" width="6" style="43" customWidth="1"/>
    <col min="4354" max="4354" width="54" style="43" customWidth="1"/>
    <col min="4355" max="4355" width="10.5703125" style="43" customWidth="1"/>
    <col min="4356" max="4357" width="10.85546875" style="43" customWidth="1"/>
    <col min="4358" max="4608" width="9.140625" style="43"/>
    <col min="4609" max="4609" width="6" style="43" customWidth="1"/>
    <col min="4610" max="4610" width="54" style="43" customWidth="1"/>
    <col min="4611" max="4611" width="10.5703125" style="43" customWidth="1"/>
    <col min="4612" max="4613" width="10.85546875" style="43" customWidth="1"/>
    <col min="4614" max="4864" width="9.140625" style="43"/>
    <col min="4865" max="4865" width="6" style="43" customWidth="1"/>
    <col min="4866" max="4866" width="54" style="43" customWidth="1"/>
    <col min="4867" max="4867" width="10.5703125" style="43" customWidth="1"/>
    <col min="4868" max="4869" width="10.85546875" style="43" customWidth="1"/>
    <col min="4870" max="5120" width="9.140625" style="43"/>
    <col min="5121" max="5121" width="6" style="43" customWidth="1"/>
    <col min="5122" max="5122" width="54" style="43" customWidth="1"/>
    <col min="5123" max="5123" width="10.5703125" style="43" customWidth="1"/>
    <col min="5124" max="5125" width="10.85546875" style="43" customWidth="1"/>
    <col min="5126" max="5376" width="9.140625" style="43"/>
    <col min="5377" max="5377" width="6" style="43" customWidth="1"/>
    <col min="5378" max="5378" width="54" style="43" customWidth="1"/>
    <col min="5379" max="5379" width="10.5703125" style="43" customWidth="1"/>
    <col min="5380" max="5381" width="10.85546875" style="43" customWidth="1"/>
    <col min="5382" max="5632" width="9.140625" style="43"/>
    <col min="5633" max="5633" width="6" style="43" customWidth="1"/>
    <col min="5634" max="5634" width="54" style="43" customWidth="1"/>
    <col min="5635" max="5635" width="10.5703125" style="43" customWidth="1"/>
    <col min="5636" max="5637" width="10.85546875" style="43" customWidth="1"/>
    <col min="5638" max="5888" width="9.140625" style="43"/>
    <col min="5889" max="5889" width="6" style="43" customWidth="1"/>
    <col min="5890" max="5890" width="54" style="43" customWidth="1"/>
    <col min="5891" max="5891" width="10.5703125" style="43" customWidth="1"/>
    <col min="5892" max="5893" width="10.85546875" style="43" customWidth="1"/>
    <col min="5894" max="6144" width="9.140625" style="43"/>
    <col min="6145" max="6145" width="6" style="43" customWidth="1"/>
    <col min="6146" max="6146" width="54" style="43" customWidth="1"/>
    <col min="6147" max="6147" width="10.5703125" style="43" customWidth="1"/>
    <col min="6148" max="6149" width="10.85546875" style="43" customWidth="1"/>
    <col min="6150" max="6400" width="9.140625" style="43"/>
    <col min="6401" max="6401" width="6" style="43" customWidth="1"/>
    <col min="6402" max="6402" width="54" style="43" customWidth="1"/>
    <col min="6403" max="6403" width="10.5703125" style="43" customWidth="1"/>
    <col min="6404" max="6405" width="10.85546875" style="43" customWidth="1"/>
    <col min="6406" max="6656" width="9.140625" style="43"/>
    <col min="6657" max="6657" width="6" style="43" customWidth="1"/>
    <col min="6658" max="6658" width="54" style="43" customWidth="1"/>
    <col min="6659" max="6659" width="10.5703125" style="43" customWidth="1"/>
    <col min="6660" max="6661" width="10.85546875" style="43" customWidth="1"/>
    <col min="6662" max="6912" width="9.140625" style="43"/>
    <col min="6913" max="6913" width="6" style="43" customWidth="1"/>
    <col min="6914" max="6914" width="54" style="43" customWidth="1"/>
    <col min="6915" max="6915" width="10.5703125" style="43" customWidth="1"/>
    <col min="6916" max="6917" width="10.85546875" style="43" customWidth="1"/>
    <col min="6918" max="7168" width="9.140625" style="43"/>
    <col min="7169" max="7169" width="6" style="43" customWidth="1"/>
    <col min="7170" max="7170" width="54" style="43" customWidth="1"/>
    <col min="7171" max="7171" width="10.5703125" style="43" customWidth="1"/>
    <col min="7172" max="7173" width="10.85546875" style="43" customWidth="1"/>
    <col min="7174" max="7424" width="9.140625" style="43"/>
    <col min="7425" max="7425" width="6" style="43" customWidth="1"/>
    <col min="7426" max="7426" width="54" style="43" customWidth="1"/>
    <col min="7427" max="7427" width="10.5703125" style="43" customWidth="1"/>
    <col min="7428" max="7429" width="10.85546875" style="43" customWidth="1"/>
    <col min="7430" max="7680" width="9.140625" style="43"/>
    <col min="7681" max="7681" width="6" style="43" customWidth="1"/>
    <col min="7682" max="7682" width="54" style="43" customWidth="1"/>
    <col min="7683" max="7683" width="10.5703125" style="43" customWidth="1"/>
    <col min="7684" max="7685" width="10.85546875" style="43" customWidth="1"/>
    <col min="7686" max="7936" width="9.140625" style="43"/>
    <col min="7937" max="7937" width="6" style="43" customWidth="1"/>
    <col min="7938" max="7938" width="54" style="43" customWidth="1"/>
    <col min="7939" max="7939" width="10.5703125" style="43" customWidth="1"/>
    <col min="7940" max="7941" width="10.85546875" style="43" customWidth="1"/>
    <col min="7942" max="8192" width="9.140625" style="43"/>
    <col min="8193" max="8193" width="6" style="43" customWidth="1"/>
    <col min="8194" max="8194" width="54" style="43" customWidth="1"/>
    <col min="8195" max="8195" width="10.5703125" style="43" customWidth="1"/>
    <col min="8196" max="8197" width="10.85546875" style="43" customWidth="1"/>
    <col min="8198" max="8448" width="9.140625" style="43"/>
    <col min="8449" max="8449" width="6" style="43" customWidth="1"/>
    <col min="8450" max="8450" width="54" style="43" customWidth="1"/>
    <col min="8451" max="8451" width="10.5703125" style="43" customWidth="1"/>
    <col min="8452" max="8453" width="10.85546875" style="43" customWidth="1"/>
    <col min="8454" max="8704" width="9.140625" style="43"/>
    <col min="8705" max="8705" width="6" style="43" customWidth="1"/>
    <col min="8706" max="8706" width="54" style="43" customWidth="1"/>
    <col min="8707" max="8707" width="10.5703125" style="43" customWidth="1"/>
    <col min="8708" max="8709" width="10.85546875" style="43" customWidth="1"/>
    <col min="8710" max="8960" width="9.140625" style="43"/>
    <col min="8961" max="8961" width="6" style="43" customWidth="1"/>
    <col min="8962" max="8962" width="54" style="43" customWidth="1"/>
    <col min="8963" max="8963" width="10.5703125" style="43" customWidth="1"/>
    <col min="8964" max="8965" width="10.85546875" style="43" customWidth="1"/>
    <col min="8966" max="9216" width="9.140625" style="43"/>
    <col min="9217" max="9217" width="6" style="43" customWidth="1"/>
    <col min="9218" max="9218" width="54" style="43" customWidth="1"/>
    <col min="9219" max="9219" width="10.5703125" style="43" customWidth="1"/>
    <col min="9220" max="9221" width="10.85546875" style="43" customWidth="1"/>
    <col min="9222" max="9472" width="9.140625" style="43"/>
    <col min="9473" max="9473" width="6" style="43" customWidth="1"/>
    <col min="9474" max="9474" width="54" style="43" customWidth="1"/>
    <col min="9475" max="9475" width="10.5703125" style="43" customWidth="1"/>
    <col min="9476" max="9477" width="10.85546875" style="43" customWidth="1"/>
    <col min="9478" max="9728" width="9.140625" style="43"/>
    <col min="9729" max="9729" width="6" style="43" customWidth="1"/>
    <col min="9730" max="9730" width="54" style="43" customWidth="1"/>
    <col min="9731" max="9731" width="10.5703125" style="43" customWidth="1"/>
    <col min="9732" max="9733" width="10.85546875" style="43" customWidth="1"/>
    <col min="9734" max="9984" width="9.140625" style="43"/>
    <col min="9985" max="9985" width="6" style="43" customWidth="1"/>
    <col min="9986" max="9986" width="54" style="43" customWidth="1"/>
    <col min="9987" max="9987" width="10.5703125" style="43" customWidth="1"/>
    <col min="9988" max="9989" width="10.85546875" style="43" customWidth="1"/>
    <col min="9990" max="10240" width="9.140625" style="43"/>
    <col min="10241" max="10241" width="6" style="43" customWidth="1"/>
    <col min="10242" max="10242" width="54" style="43" customWidth="1"/>
    <col min="10243" max="10243" width="10.5703125" style="43" customWidth="1"/>
    <col min="10244" max="10245" width="10.85546875" style="43" customWidth="1"/>
    <col min="10246" max="10496" width="9.140625" style="43"/>
    <col min="10497" max="10497" width="6" style="43" customWidth="1"/>
    <col min="10498" max="10498" width="54" style="43" customWidth="1"/>
    <col min="10499" max="10499" width="10.5703125" style="43" customWidth="1"/>
    <col min="10500" max="10501" width="10.85546875" style="43" customWidth="1"/>
    <col min="10502" max="10752" width="9.140625" style="43"/>
    <col min="10753" max="10753" width="6" style="43" customWidth="1"/>
    <col min="10754" max="10754" width="54" style="43" customWidth="1"/>
    <col min="10755" max="10755" width="10.5703125" style="43" customWidth="1"/>
    <col min="10756" max="10757" width="10.85546875" style="43" customWidth="1"/>
    <col min="10758" max="11008" width="9.140625" style="43"/>
    <col min="11009" max="11009" width="6" style="43" customWidth="1"/>
    <col min="11010" max="11010" width="54" style="43" customWidth="1"/>
    <col min="11011" max="11011" width="10.5703125" style="43" customWidth="1"/>
    <col min="11012" max="11013" width="10.85546875" style="43" customWidth="1"/>
    <col min="11014" max="11264" width="9.140625" style="43"/>
    <col min="11265" max="11265" width="6" style="43" customWidth="1"/>
    <col min="11266" max="11266" width="54" style="43" customWidth="1"/>
    <col min="11267" max="11267" width="10.5703125" style="43" customWidth="1"/>
    <col min="11268" max="11269" width="10.85546875" style="43" customWidth="1"/>
    <col min="11270" max="11520" width="9.140625" style="43"/>
    <col min="11521" max="11521" width="6" style="43" customWidth="1"/>
    <col min="11522" max="11522" width="54" style="43" customWidth="1"/>
    <col min="11523" max="11523" width="10.5703125" style="43" customWidth="1"/>
    <col min="11524" max="11525" width="10.85546875" style="43" customWidth="1"/>
    <col min="11526" max="11776" width="9.140625" style="43"/>
    <col min="11777" max="11777" width="6" style="43" customWidth="1"/>
    <col min="11778" max="11778" width="54" style="43" customWidth="1"/>
    <col min="11779" max="11779" width="10.5703125" style="43" customWidth="1"/>
    <col min="11780" max="11781" width="10.85546875" style="43" customWidth="1"/>
    <col min="11782" max="12032" width="9.140625" style="43"/>
    <col min="12033" max="12033" width="6" style="43" customWidth="1"/>
    <col min="12034" max="12034" width="54" style="43" customWidth="1"/>
    <col min="12035" max="12035" width="10.5703125" style="43" customWidth="1"/>
    <col min="12036" max="12037" width="10.85546875" style="43" customWidth="1"/>
    <col min="12038" max="12288" width="9.140625" style="43"/>
    <col min="12289" max="12289" width="6" style="43" customWidth="1"/>
    <col min="12290" max="12290" width="54" style="43" customWidth="1"/>
    <col min="12291" max="12291" width="10.5703125" style="43" customWidth="1"/>
    <col min="12292" max="12293" width="10.85546875" style="43" customWidth="1"/>
    <col min="12294" max="12544" width="9.140625" style="43"/>
    <col min="12545" max="12545" width="6" style="43" customWidth="1"/>
    <col min="12546" max="12546" width="54" style="43" customWidth="1"/>
    <col min="12547" max="12547" width="10.5703125" style="43" customWidth="1"/>
    <col min="12548" max="12549" width="10.85546875" style="43" customWidth="1"/>
    <col min="12550" max="12800" width="9.140625" style="43"/>
    <col min="12801" max="12801" width="6" style="43" customWidth="1"/>
    <col min="12802" max="12802" width="54" style="43" customWidth="1"/>
    <col min="12803" max="12803" width="10.5703125" style="43" customWidth="1"/>
    <col min="12804" max="12805" width="10.85546875" style="43" customWidth="1"/>
    <col min="12806" max="13056" width="9.140625" style="43"/>
    <col min="13057" max="13057" width="6" style="43" customWidth="1"/>
    <col min="13058" max="13058" width="54" style="43" customWidth="1"/>
    <col min="13059" max="13059" width="10.5703125" style="43" customWidth="1"/>
    <col min="13060" max="13061" width="10.85546875" style="43" customWidth="1"/>
    <col min="13062" max="13312" width="9.140625" style="43"/>
    <col min="13313" max="13313" width="6" style="43" customWidth="1"/>
    <col min="13314" max="13314" width="54" style="43" customWidth="1"/>
    <col min="13315" max="13315" width="10.5703125" style="43" customWidth="1"/>
    <col min="13316" max="13317" width="10.85546875" style="43" customWidth="1"/>
    <col min="13318" max="13568" width="9.140625" style="43"/>
    <col min="13569" max="13569" width="6" style="43" customWidth="1"/>
    <col min="13570" max="13570" width="54" style="43" customWidth="1"/>
    <col min="13571" max="13571" width="10.5703125" style="43" customWidth="1"/>
    <col min="13572" max="13573" width="10.85546875" style="43" customWidth="1"/>
    <col min="13574" max="13824" width="9.140625" style="43"/>
    <col min="13825" max="13825" width="6" style="43" customWidth="1"/>
    <col min="13826" max="13826" width="54" style="43" customWidth="1"/>
    <col min="13827" max="13827" width="10.5703125" style="43" customWidth="1"/>
    <col min="13828" max="13829" width="10.85546875" style="43" customWidth="1"/>
    <col min="13830" max="14080" width="9.140625" style="43"/>
    <col min="14081" max="14081" width="6" style="43" customWidth="1"/>
    <col min="14082" max="14082" width="54" style="43" customWidth="1"/>
    <col min="14083" max="14083" width="10.5703125" style="43" customWidth="1"/>
    <col min="14084" max="14085" width="10.85546875" style="43" customWidth="1"/>
    <col min="14086" max="14336" width="9.140625" style="43"/>
    <col min="14337" max="14337" width="6" style="43" customWidth="1"/>
    <col min="14338" max="14338" width="54" style="43" customWidth="1"/>
    <col min="14339" max="14339" width="10.5703125" style="43" customWidth="1"/>
    <col min="14340" max="14341" width="10.85546875" style="43" customWidth="1"/>
    <col min="14342" max="14592" width="9.140625" style="43"/>
    <col min="14593" max="14593" width="6" style="43" customWidth="1"/>
    <col min="14594" max="14594" width="54" style="43" customWidth="1"/>
    <col min="14595" max="14595" width="10.5703125" style="43" customWidth="1"/>
    <col min="14596" max="14597" width="10.85546875" style="43" customWidth="1"/>
    <col min="14598" max="14848" width="9.140625" style="43"/>
    <col min="14849" max="14849" width="6" style="43" customWidth="1"/>
    <col min="14850" max="14850" width="54" style="43" customWidth="1"/>
    <col min="14851" max="14851" width="10.5703125" style="43" customWidth="1"/>
    <col min="14852" max="14853" width="10.85546875" style="43" customWidth="1"/>
    <col min="14854" max="15104" width="9.140625" style="43"/>
    <col min="15105" max="15105" width="6" style="43" customWidth="1"/>
    <col min="15106" max="15106" width="54" style="43" customWidth="1"/>
    <col min="15107" max="15107" width="10.5703125" style="43" customWidth="1"/>
    <col min="15108" max="15109" width="10.85546875" style="43" customWidth="1"/>
    <col min="15110" max="15360" width="9.140625" style="43"/>
    <col min="15361" max="15361" width="6" style="43" customWidth="1"/>
    <col min="15362" max="15362" width="54" style="43" customWidth="1"/>
    <col min="15363" max="15363" width="10.5703125" style="43" customWidth="1"/>
    <col min="15364" max="15365" width="10.85546875" style="43" customWidth="1"/>
    <col min="15366" max="15616" width="9.140625" style="43"/>
    <col min="15617" max="15617" width="6" style="43" customWidth="1"/>
    <col min="15618" max="15618" width="54" style="43" customWidth="1"/>
    <col min="15619" max="15619" width="10.5703125" style="43" customWidth="1"/>
    <col min="15620" max="15621" width="10.85546875" style="43" customWidth="1"/>
    <col min="15622" max="15872" width="9.140625" style="43"/>
    <col min="15873" max="15873" width="6" style="43" customWidth="1"/>
    <col min="15874" max="15874" width="54" style="43" customWidth="1"/>
    <col min="15875" max="15875" width="10.5703125" style="43" customWidth="1"/>
    <col min="15876" max="15877" width="10.85546875" style="43" customWidth="1"/>
    <col min="15878" max="16128" width="9.140625" style="43"/>
    <col min="16129" max="16129" width="6" style="43" customWidth="1"/>
    <col min="16130" max="16130" width="54" style="43" customWidth="1"/>
    <col min="16131" max="16131" width="10.5703125" style="43" customWidth="1"/>
    <col min="16132" max="16133" width="10.85546875" style="43" customWidth="1"/>
    <col min="16134" max="16384" width="9.140625" style="43"/>
  </cols>
  <sheetData>
    <row r="1" spans="1:6" ht="18.75" x14ac:dyDescent="0.25">
      <c r="A1" s="588" t="s">
        <v>339</v>
      </c>
      <c r="B1" s="588"/>
      <c r="C1" s="588"/>
      <c r="D1" s="588"/>
      <c r="E1" s="588"/>
    </row>
    <row r="2" spans="1:6" ht="100.5" customHeight="1" x14ac:dyDescent="0.25">
      <c r="A2" s="589" t="s">
        <v>400</v>
      </c>
      <c r="B2" s="589"/>
      <c r="C2" s="589"/>
      <c r="D2" s="589"/>
      <c r="E2" s="589"/>
    </row>
    <row r="3" spans="1:6" ht="15" customHeight="1" x14ac:dyDescent="0.25">
      <c r="A3" s="590" t="s">
        <v>51</v>
      </c>
      <c r="B3" s="591" t="s">
        <v>70</v>
      </c>
      <c r="C3" s="590" t="s">
        <v>71</v>
      </c>
      <c r="D3" s="590"/>
      <c r="E3" s="590"/>
    </row>
    <row r="4" spans="1:6" ht="18.75" customHeight="1" x14ac:dyDescent="0.25">
      <c r="A4" s="590"/>
      <c r="B4" s="591"/>
      <c r="C4" s="592" t="s">
        <v>3</v>
      </c>
      <c r="D4" s="594" t="s">
        <v>4</v>
      </c>
      <c r="E4" s="595"/>
    </row>
    <row r="5" spans="1:6" ht="16.5" customHeight="1" x14ac:dyDescent="0.25">
      <c r="A5" s="590"/>
      <c r="B5" s="591"/>
      <c r="C5" s="593"/>
      <c r="D5" s="115" t="s">
        <v>5</v>
      </c>
      <c r="E5" s="115" t="s">
        <v>6</v>
      </c>
    </row>
    <row r="6" spans="1:6" ht="18.75" x14ac:dyDescent="0.25">
      <c r="A6" s="44" t="s">
        <v>53</v>
      </c>
      <c r="B6" s="44" t="s">
        <v>54</v>
      </c>
      <c r="C6" s="44">
        <v>3</v>
      </c>
      <c r="D6" s="44">
        <v>4</v>
      </c>
      <c r="E6" s="44">
        <v>5</v>
      </c>
    </row>
    <row r="7" spans="1:6" ht="18.75" x14ac:dyDescent="0.25">
      <c r="A7" s="44">
        <v>1</v>
      </c>
      <c r="B7" s="45" t="s">
        <v>7</v>
      </c>
      <c r="C7" s="56">
        <v>266.39999999999998</v>
      </c>
      <c r="D7" s="56">
        <v>269</v>
      </c>
      <c r="E7" s="56">
        <v>271.5</v>
      </c>
    </row>
    <row r="8" spans="1:6" ht="18.75" x14ac:dyDescent="0.25">
      <c r="A8" s="44">
        <v>2</v>
      </c>
      <c r="B8" s="45" t="s">
        <v>8</v>
      </c>
      <c r="C8" s="56">
        <v>266.5</v>
      </c>
      <c r="D8" s="56">
        <v>269</v>
      </c>
      <c r="E8" s="56">
        <v>271.5</v>
      </c>
    </row>
    <row r="9" spans="1:6" ht="18.75" x14ac:dyDescent="0.25">
      <c r="A9" s="44">
        <v>3</v>
      </c>
      <c r="B9" s="45" t="s">
        <v>9</v>
      </c>
      <c r="C9" s="56">
        <v>532.79999999999995</v>
      </c>
      <c r="D9" s="56">
        <v>537.9</v>
      </c>
      <c r="E9" s="56">
        <v>543.1</v>
      </c>
    </row>
    <row r="10" spans="1:6" ht="18.75" x14ac:dyDescent="0.25">
      <c r="A10" s="44">
        <f>A9+1</f>
        <v>4</v>
      </c>
      <c r="B10" s="45" t="s">
        <v>10</v>
      </c>
      <c r="C10" s="56">
        <v>266.5</v>
      </c>
      <c r="D10" s="56">
        <v>269</v>
      </c>
      <c r="E10" s="56">
        <v>271.5</v>
      </c>
    </row>
    <row r="11" spans="1:6" ht="18.75" x14ac:dyDescent="0.25">
      <c r="A11" s="44">
        <f t="shared" ref="A11:A74" si="0">A10+1</f>
        <v>5</v>
      </c>
      <c r="B11" s="46" t="s">
        <v>11</v>
      </c>
      <c r="C11" s="56">
        <v>401.85</v>
      </c>
      <c r="D11" s="57">
        <v>405.55</v>
      </c>
      <c r="E11" s="57">
        <v>409.55</v>
      </c>
    </row>
    <row r="12" spans="1:6" ht="18.75" x14ac:dyDescent="0.25">
      <c r="A12" s="44">
        <f t="shared" si="0"/>
        <v>6</v>
      </c>
      <c r="B12" s="45" t="s">
        <v>12</v>
      </c>
      <c r="C12" s="56">
        <v>199.8</v>
      </c>
      <c r="D12" s="57">
        <v>201.7</v>
      </c>
      <c r="E12" s="57">
        <v>203.6</v>
      </c>
    </row>
    <row r="13" spans="1:6" ht="18.75" x14ac:dyDescent="0.25">
      <c r="A13" s="44">
        <f t="shared" si="0"/>
        <v>7</v>
      </c>
      <c r="B13" s="46" t="s">
        <v>13</v>
      </c>
      <c r="C13" s="56">
        <v>199.8</v>
      </c>
      <c r="D13" s="57">
        <v>201.7</v>
      </c>
      <c r="E13" s="57">
        <v>203.6</v>
      </c>
    </row>
    <row r="14" spans="1:6" ht="18.75" x14ac:dyDescent="0.25">
      <c r="A14" s="44">
        <f t="shared" si="0"/>
        <v>8</v>
      </c>
      <c r="B14" s="45" t="s">
        <v>14</v>
      </c>
      <c r="C14" s="56">
        <v>133.19999999999999</v>
      </c>
      <c r="D14" s="57">
        <v>134.5</v>
      </c>
      <c r="E14" s="57">
        <v>135.80000000000001</v>
      </c>
    </row>
    <row r="15" spans="1:6" ht="18.75" x14ac:dyDescent="0.25">
      <c r="A15" s="44">
        <f t="shared" si="0"/>
        <v>9</v>
      </c>
      <c r="B15" s="47" t="s">
        <v>15</v>
      </c>
      <c r="C15" s="56">
        <v>199.8</v>
      </c>
      <c r="D15" s="57">
        <v>201.7</v>
      </c>
      <c r="E15" s="57">
        <v>203.6</v>
      </c>
    </row>
    <row r="16" spans="1:6" ht="18.75" x14ac:dyDescent="0.25">
      <c r="A16" s="44">
        <f t="shared" si="0"/>
        <v>10</v>
      </c>
      <c r="B16" s="46" t="s">
        <v>16</v>
      </c>
      <c r="C16" s="56">
        <v>67.8</v>
      </c>
      <c r="D16" s="56">
        <v>68.400000000000006</v>
      </c>
      <c r="E16" s="56">
        <v>69.099999999999994</v>
      </c>
      <c r="F16" s="48"/>
    </row>
    <row r="17" spans="1:17" ht="18.75" x14ac:dyDescent="0.25">
      <c r="A17" s="44">
        <f t="shared" si="0"/>
        <v>11</v>
      </c>
      <c r="B17" s="49" t="s">
        <v>17</v>
      </c>
      <c r="C17" s="56">
        <v>67.7</v>
      </c>
      <c r="D17" s="57">
        <v>68.3</v>
      </c>
      <c r="E17" s="57">
        <v>69</v>
      </c>
    </row>
    <row r="18" spans="1:17" ht="18.75" x14ac:dyDescent="0.25">
      <c r="A18" s="44">
        <f t="shared" si="0"/>
        <v>12</v>
      </c>
      <c r="B18" s="49" t="s">
        <v>72</v>
      </c>
      <c r="C18" s="56">
        <v>134.25</v>
      </c>
      <c r="D18" s="57">
        <v>135.55000000000001</v>
      </c>
      <c r="E18" s="57">
        <v>136.85</v>
      </c>
    </row>
    <row r="19" spans="1:17" ht="18.75" x14ac:dyDescent="0.25">
      <c r="A19" s="44">
        <f t="shared" si="0"/>
        <v>13</v>
      </c>
      <c r="B19" s="49" t="s">
        <v>19</v>
      </c>
      <c r="C19" s="56">
        <v>67.2</v>
      </c>
      <c r="D19" s="57">
        <v>67.8</v>
      </c>
      <c r="E19" s="57">
        <v>68.5</v>
      </c>
      <c r="Q19" s="213"/>
    </row>
    <row r="20" spans="1:17" ht="18.75" x14ac:dyDescent="0.25">
      <c r="A20" s="44">
        <f t="shared" si="0"/>
        <v>14</v>
      </c>
      <c r="B20" s="49" t="s">
        <v>20</v>
      </c>
      <c r="C20" s="56">
        <v>67.2</v>
      </c>
      <c r="D20" s="57">
        <v>67.8</v>
      </c>
      <c r="E20" s="57">
        <v>68.5</v>
      </c>
    </row>
    <row r="21" spans="1:17" ht="18.75" x14ac:dyDescent="0.25">
      <c r="A21" s="44">
        <f t="shared" si="0"/>
        <v>15</v>
      </c>
      <c r="B21" s="49" t="s">
        <v>21</v>
      </c>
      <c r="C21" s="56">
        <v>67.650000000000006</v>
      </c>
      <c r="D21" s="57">
        <v>68.25</v>
      </c>
      <c r="E21" s="57">
        <v>68.95</v>
      </c>
    </row>
    <row r="22" spans="1:17" ht="18.75" x14ac:dyDescent="0.25">
      <c r="A22" s="44">
        <f t="shared" si="0"/>
        <v>16</v>
      </c>
      <c r="B22" s="49" t="s">
        <v>22</v>
      </c>
      <c r="C22" s="56">
        <v>67.650000000000006</v>
      </c>
      <c r="D22" s="57">
        <v>68.25</v>
      </c>
      <c r="E22" s="57">
        <v>68.95</v>
      </c>
    </row>
    <row r="23" spans="1:17" ht="18.75" x14ac:dyDescent="0.25">
      <c r="A23" s="44">
        <f t="shared" si="0"/>
        <v>17</v>
      </c>
      <c r="B23" s="49" t="s">
        <v>23</v>
      </c>
      <c r="C23" s="56">
        <v>67.349999999999994</v>
      </c>
      <c r="D23" s="57">
        <v>67.95</v>
      </c>
      <c r="E23" s="57">
        <v>68.650000000000006</v>
      </c>
    </row>
    <row r="24" spans="1:17" ht="18.75" x14ac:dyDescent="0.25">
      <c r="A24" s="44">
        <f t="shared" si="0"/>
        <v>18</v>
      </c>
      <c r="B24" s="49" t="s">
        <v>24</v>
      </c>
      <c r="C24" s="56">
        <v>67.5</v>
      </c>
      <c r="D24" s="57">
        <v>68.099999999999994</v>
      </c>
      <c r="E24" s="57">
        <v>68.8</v>
      </c>
    </row>
    <row r="25" spans="1:17" s="50" customFormat="1" ht="18.75" x14ac:dyDescent="0.25">
      <c r="A25" s="44">
        <f t="shared" si="0"/>
        <v>19</v>
      </c>
      <c r="B25" s="46" t="s">
        <v>73</v>
      </c>
      <c r="C25" s="56">
        <v>199.8</v>
      </c>
      <c r="D25" s="56">
        <v>201.7</v>
      </c>
      <c r="E25" s="56">
        <v>203.6</v>
      </c>
    </row>
    <row r="26" spans="1:17" ht="18.75" x14ac:dyDescent="0.25">
      <c r="A26" s="44">
        <f t="shared" si="0"/>
        <v>20</v>
      </c>
      <c r="B26" s="46" t="s">
        <v>74</v>
      </c>
      <c r="C26" s="58">
        <v>0.15</v>
      </c>
      <c r="D26" s="58">
        <v>0.15</v>
      </c>
      <c r="E26" s="58">
        <v>0.15</v>
      </c>
    </row>
    <row r="27" spans="1:17" ht="18.75" x14ac:dyDescent="0.25">
      <c r="A27" s="44">
        <f t="shared" si="0"/>
        <v>21</v>
      </c>
      <c r="B27" s="51" t="s">
        <v>75</v>
      </c>
      <c r="C27" s="58">
        <v>0.15</v>
      </c>
      <c r="D27" s="58">
        <v>0.15</v>
      </c>
      <c r="E27" s="58">
        <v>0.15</v>
      </c>
    </row>
    <row r="28" spans="1:17" ht="18.75" x14ac:dyDescent="0.25">
      <c r="A28" s="44">
        <f t="shared" si="0"/>
        <v>22</v>
      </c>
      <c r="B28" s="51" t="s">
        <v>76</v>
      </c>
      <c r="C28" s="58">
        <v>0.15</v>
      </c>
      <c r="D28" s="58">
        <v>0.15</v>
      </c>
      <c r="E28" s="58">
        <v>0.15</v>
      </c>
    </row>
    <row r="29" spans="1:17" ht="18.75" x14ac:dyDescent="0.25">
      <c r="A29" s="44">
        <f t="shared" si="0"/>
        <v>23</v>
      </c>
      <c r="B29" s="51" t="s">
        <v>77</v>
      </c>
      <c r="C29" s="58">
        <v>0.15</v>
      </c>
      <c r="D29" s="58">
        <v>0.15</v>
      </c>
      <c r="E29" s="58">
        <v>0.15</v>
      </c>
    </row>
    <row r="30" spans="1:17" ht="18.75" x14ac:dyDescent="0.25">
      <c r="A30" s="44">
        <f t="shared" si="0"/>
        <v>24</v>
      </c>
      <c r="B30" s="51" t="s">
        <v>78</v>
      </c>
      <c r="C30" s="58">
        <v>0.15</v>
      </c>
      <c r="D30" s="58">
        <v>0.15</v>
      </c>
      <c r="E30" s="58">
        <v>0.15</v>
      </c>
    </row>
    <row r="31" spans="1:17" ht="18.75" x14ac:dyDescent="0.25">
      <c r="A31" s="44">
        <f t="shared" si="0"/>
        <v>25</v>
      </c>
      <c r="B31" s="51" t="s">
        <v>79</v>
      </c>
      <c r="C31" s="58">
        <v>0.15</v>
      </c>
      <c r="D31" s="58">
        <v>0.15</v>
      </c>
      <c r="E31" s="58">
        <v>0.15</v>
      </c>
    </row>
    <row r="32" spans="1:17" ht="18.75" x14ac:dyDescent="0.25">
      <c r="A32" s="44">
        <f t="shared" si="0"/>
        <v>26</v>
      </c>
      <c r="B32" s="51" t="s">
        <v>80</v>
      </c>
      <c r="C32" s="58">
        <v>0.15</v>
      </c>
      <c r="D32" s="58">
        <v>0.15</v>
      </c>
      <c r="E32" s="58">
        <v>0.15</v>
      </c>
    </row>
    <row r="33" spans="1:6" ht="18.75" x14ac:dyDescent="0.25">
      <c r="A33" s="44">
        <f t="shared" si="0"/>
        <v>27</v>
      </c>
      <c r="B33" s="51" t="s">
        <v>81</v>
      </c>
      <c r="C33" s="58">
        <v>0.15</v>
      </c>
      <c r="D33" s="58">
        <v>0.15</v>
      </c>
      <c r="E33" s="58">
        <v>0.15</v>
      </c>
    </row>
    <row r="34" spans="1:6" ht="18.75" x14ac:dyDescent="0.25">
      <c r="A34" s="44">
        <f t="shared" si="0"/>
        <v>28</v>
      </c>
      <c r="B34" s="51" t="s">
        <v>82</v>
      </c>
      <c r="C34" s="58">
        <v>0.15</v>
      </c>
      <c r="D34" s="58">
        <v>0.15</v>
      </c>
      <c r="E34" s="58">
        <v>0.15</v>
      </c>
    </row>
    <row r="35" spans="1:6" ht="18.75" x14ac:dyDescent="0.25">
      <c r="A35" s="44">
        <f t="shared" si="0"/>
        <v>29</v>
      </c>
      <c r="B35" s="51" t="s">
        <v>83</v>
      </c>
      <c r="C35" s="58">
        <v>0.15</v>
      </c>
      <c r="D35" s="58">
        <v>0.15</v>
      </c>
      <c r="E35" s="58">
        <v>0.15</v>
      </c>
    </row>
    <row r="36" spans="1:6" ht="18.75" x14ac:dyDescent="0.25">
      <c r="A36" s="44">
        <f t="shared" si="0"/>
        <v>30</v>
      </c>
      <c r="B36" s="51" t="s">
        <v>84</v>
      </c>
      <c r="C36" s="58">
        <v>0.15</v>
      </c>
      <c r="D36" s="58">
        <v>0.15</v>
      </c>
      <c r="E36" s="58">
        <v>0.15</v>
      </c>
      <c r="F36" s="48"/>
    </row>
    <row r="37" spans="1:6" ht="18.75" x14ac:dyDescent="0.25">
      <c r="A37" s="44">
        <f t="shared" si="0"/>
        <v>31</v>
      </c>
      <c r="B37" s="51" t="s">
        <v>85</v>
      </c>
      <c r="C37" s="58">
        <v>0.15</v>
      </c>
      <c r="D37" s="58">
        <v>0.15</v>
      </c>
      <c r="E37" s="58">
        <v>0.15</v>
      </c>
    </row>
    <row r="38" spans="1:6" ht="18.75" x14ac:dyDescent="0.25">
      <c r="A38" s="44">
        <f t="shared" si="0"/>
        <v>32</v>
      </c>
      <c r="B38" s="51" t="s">
        <v>86</v>
      </c>
      <c r="C38" s="58">
        <v>0.15</v>
      </c>
      <c r="D38" s="58">
        <v>0.15</v>
      </c>
      <c r="E38" s="58">
        <v>0.15</v>
      </c>
    </row>
    <row r="39" spans="1:6" s="50" customFormat="1" ht="18.75" x14ac:dyDescent="0.25">
      <c r="A39" s="44">
        <f t="shared" si="0"/>
        <v>33</v>
      </c>
      <c r="B39" s="46" t="s">
        <v>26</v>
      </c>
      <c r="C39" s="58">
        <v>66.599999999999994</v>
      </c>
      <c r="D39" s="58">
        <v>67.2</v>
      </c>
      <c r="E39" s="58">
        <v>67.900000000000006</v>
      </c>
    </row>
    <row r="40" spans="1:6" ht="18.75" x14ac:dyDescent="0.25">
      <c r="A40" s="44">
        <f t="shared" si="0"/>
        <v>34</v>
      </c>
      <c r="B40" s="51" t="s">
        <v>87</v>
      </c>
      <c r="C40" s="58">
        <v>0.15</v>
      </c>
      <c r="D40" s="58">
        <v>0.15</v>
      </c>
      <c r="E40" s="58">
        <v>0.15</v>
      </c>
    </row>
    <row r="41" spans="1:6" ht="18.75" x14ac:dyDescent="0.25">
      <c r="A41" s="44">
        <f t="shared" si="0"/>
        <v>35</v>
      </c>
      <c r="B41" s="51" t="s">
        <v>88</v>
      </c>
      <c r="C41" s="58">
        <v>0.15</v>
      </c>
      <c r="D41" s="58">
        <v>0.15</v>
      </c>
      <c r="E41" s="58">
        <v>0.15</v>
      </c>
    </row>
    <row r="42" spans="1:6" ht="18.75" x14ac:dyDescent="0.25">
      <c r="A42" s="44">
        <f t="shared" si="0"/>
        <v>36</v>
      </c>
      <c r="B42" s="51" t="s">
        <v>89</v>
      </c>
      <c r="C42" s="58">
        <v>0.15</v>
      </c>
      <c r="D42" s="58">
        <v>0.15</v>
      </c>
      <c r="E42" s="58">
        <v>0.15</v>
      </c>
    </row>
    <row r="43" spans="1:6" ht="18.75" x14ac:dyDescent="0.25">
      <c r="A43" s="44">
        <f t="shared" si="0"/>
        <v>37</v>
      </c>
      <c r="B43" s="51" t="s">
        <v>90</v>
      </c>
      <c r="C43" s="58">
        <v>0.15</v>
      </c>
      <c r="D43" s="58">
        <v>0.15</v>
      </c>
      <c r="E43" s="58">
        <v>0.15</v>
      </c>
    </row>
    <row r="44" spans="1:6" ht="18.75" x14ac:dyDescent="0.25">
      <c r="A44" s="44">
        <f t="shared" si="0"/>
        <v>38</v>
      </c>
      <c r="B44" s="51" t="s">
        <v>91</v>
      </c>
      <c r="C44" s="58">
        <v>0.15</v>
      </c>
      <c r="D44" s="58">
        <v>0.15</v>
      </c>
      <c r="E44" s="58">
        <v>0.15</v>
      </c>
    </row>
    <row r="45" spans="1:6" ht="18.75" x14ac:dyDescent="0.25">
      <c r="A45" s="44">
        <f t="shared" si="0"/>
        <v>39</v>
      </c>
      <c r="B45" s="51" t="s">
        <v>92</v>
      </c>
      <c r="C45" s="58">
        <v>0.15</v>
      </c>
      <c r="D45" s="58">
        <v>0.15</v>
      </c>
      <c r="E45" s="58">
        <v>0.15</v>
      </c>
    </row>
    <row r="46" spans="1:6" ht="18.75" x14ac:dyDescent="0.25">
      <c r="A46" s="44">
        <f t="shared" si="0"/>
        <v>40</v>
      </c>
      <c r="B46" s="51" t="s">
        <v>93</v>
      </c>
      <c r="C46" s="58">
        <v>0.15</v>
      </c>
      <c r="D46" s="58">
        <v>0.15</v>
      </c>
      <c r="E46" s="58">
        <v>0.15</v>
      </c>
    </row>
    <row r="47" spans="1:6" s="50" customFormat="1" ht="18.75" x14ac:dyDescent="0.25">
      <c r="A47" s="44">
        <f t="shared" si="0"/>
        <v>41</v>
      </c>
      <c r="B47" s="46" t="s">
        <v>94</v>
      </c>
      <c r="C47" s="58">
        <v>199.8</v>
      </c>
      <c r="D47" s="58">
        <v>201.7</v>
      </c>
      <c r="E47" s="58">
        <v>203.6</v>
      </c>
    </row>
    <row r="48" spans="1:6" ht="18.75" x14ac:dyDescent="0.25">
      <c r="A48" s="44">
        <f t="shared" si="0"/>
        <v>42</v>
      </c>
      <c r="B48" s="46" t="s">
        <v>95</v>
      </c>
      <c r="C48" s="58">
        <v>0.15</v>
      </c>
      <c r="D48" s="58">
        <v>0.15</v>
      </c>
      <c r="E48" s="58">
        <v>0.15</v>
      </c>
    </row>
    <row r="49" spans="1:5" ht="18.75" x14ac:dyDescent="0.25">
      <c r="A49" s="44">
        <f t="shared" si="0"/>
        <v>43</v>
      </c>
      <c r="B49" s="51" t="s">
        <v>96</v>
      </c>
      <c r="C49" s="58">
        <v>0.15</v>
      </c>
      <c r="D49" s="58">
        <v>0.15</v>
      </c>
      <c r="E49" s="58">
        <v>0.15</v>
      </c>
    </row>
    <row r="50" spans="1:5" ht="18.75" x14ac:dyDescent="0.25">
      <c r="A50" s="44">
        <f t="shared" si="0"/>
        <v>44</v>
      </c>
      <c r="B50" s="51" t="s">
        <v>97</v>
      </c>
      <c r="C50" s="58">
        <v>0.15</v>
      </c>
      <c r="D50" s="58">
        <v>0.15</v>
      </c>
      <c r="E50" s="58">
        <v>0.15</v>
      </c>
    </row>
    <row r="51" spans="1:5" ht="18.75" x14ac:dyDescent="0.25">
      <c r="A51" s="44">
        <f t="shared" si="0"/>
        <v>45</v>
      </c>
      <c r="B51" s="51" t="s">
        <v>98</v>
      </c>
      <c r="C51" s="58">
        <v>0.15</v>
      </c>
      <c r="D51" s="58">
        <v>0.15</v>
      </c>
      <c r="E51" s="58">
        <v>0.15</v>
      </c>
    </row>
    <row r="52" spans="1:5" ht="18.75" x14ac:dyDescent="0.25">
      <c r="A52" s="44">
        <f t="shared" si="0"/>
        <v>46</v>
      </c>
      <c r="B52" s="51" t="s">
        <v>99</v>
      </c>
      <c r="C52" s="58">
        <v>0.15</v>
      </c>
      <c r="D52" s="58">
        <v>0.15</v>
      </c>
      <c r="E52" s="58">
        <v>0.15</v>
      </c>
    </row>
    <row r="53" spans="1:5" ht="18.75" x14ac:dyDescent="0.25">
      <c r="A53" s="44">
        <f t="shared" si="0"/>
        <v>47</v>
      </c>
      <c r="B53" s="51" t="s">
        <v>100</v>
      </c>
      <c r="C53" s="58">
        <v>0.15</v>
      </c>
      <c r="D53" s="58">
        <v>0.15</v>
      </c>
      <c r="E53" s="58">
        <v>0.15</v>
      </c>
    </row>
    <row r="54" spans="1:5" ht="18.75" x14ac:dyDescent="0.25">
      <c r="A54" s="44">
        <f t="shared" si="0"/>
        <v>48</v>
      </c>
      <c r="B54" s="51" t="s">
        <v>101</v>
      </c>
      <c r="C54" s="58">
        <v>0.15</v>
      </c>
      <c r="D54" s="58">
        <v>0.15</v>
      </c>
      <c r="E54" s="58">
        <v>0.15</v>
      </c>
    </row>
    <row r="55" spans="1:5" ht="18.75" x14ac:dyDescent="0.25">
      <c r="A55" s="44">
        <f t="shared" si="0"/>
        <v>49</v>
      </c>
      <c r="B55" s="51" t="s">
        <v>102</v>
      </c>
      <c r="C55" s="58">
        <v>0.15</v>
      </c>
      <c r="D55" s="58">
        <v>0.15</v>
      </c>
      <c r="E55" s="58">
        <v>0.15</v>
      </c>
    </row>
    <row r="56" spans="1:5" ht="18.75" x14ac:dyDescent="0.25">
      <c r="A56" s="44">
        <f t="shared" si="0"/>
        <v>50</v>
      </c>
      <c r="B56" s="51" t="s">
        <v>103</v>
      </c>
      <c r="C56" s="58">
        <v>0.15</v>
      </c>
      <c r="D56" s="58">
        <v>0.15</v>
      </c>
      <c r="E56" s="58">
        <v>0.15</v>
      </c>
    </row>
    <row r="57" spans="1:5" ht="18.75" x14ac:dyDescent="0.25">
      <c r="A57" s="44">
        <f t="shared" si="0"/>
        <v>51</v>
      </c>
      <c r="B57" s="51" t="s">
        <v>104</v>
      </c>
      <c r="C57" s="58">
        <v>0.15</v>
      </c>
      <c r="D57" s="58">
        <v>0.15</v>
      </c>
      <c r="E57" s="58">
        <v>0.15</v>
      </c>
    </row>
    <row r="58" spans="1:5" ht="18.75" x14ac:dyDescent="0.25">
      <c r="A58" s="44">
        <f t="shared" si="0"/>
        <v>52</v>
      </c>
      <c r="B58" s="51" t="s">
        <v>105</v>
      </c>
      <c r="C58" s="58">
        <v>0.15</v>
      </c>
      <c r="D58" s="58">
        <v>0.15</v>
      </c>
      <c r="E58" s="58">
        <v>0.15</v>
      </c>
    </row>
    <row r="59" spans="1:5" s="50" customFormat="1" ht="18.75" x14ac:dyDescent="0.25">
      <c r="A59" s="44">
        <f t="shared" si="0"/>
        <v>53</v>
      </c>
      <c r="B59" s="46" t="s">
        <v>106</v>
      </c>
      <c r="C59" s="57">
        <v>66.599999999999994</v>
      </c>
      <c r="D59" s="57">
        <v>67.2</v>
      </c>
      <c r="E59" s="57">
        <v>67.900000000000006</v>
      </c>
    </row>
    <row r="60" spans="1:5" ht="18.75" x14ac:dyDescent="0.25">
      <c r="A60" s="44">
        <f t="shared" si="0"/>
        <v>54</v>
      </c>
      <c r="B60" s="51" t="s">
        <v>107</v>
      </c>
      <c r="C60" s="58">
        <v>0.15</v>
      </c>
      <c r="D60" s="58">
        <v>0.15</v>
      </c>
      <c r="E60" s="58">
        <v>0.15</v>
      </c>
    </row>
    <row r="61" spans="1:5" ht="18.75" x14ac:dyDescent="0.25">
      <c r="A61" s="44">
        <f t="shared" si="0"/>
        <v>55</v>
      </c>
      <c r="B61" s="51" t="s">
        <v>108</v>
      </c>
      <c r="C61" s="58">
        <v>0.15</v>
      </c>
      <c r="D61" s="58">
        <v>0.15</v>
      </c>
      <c r="E61" s="58">
        <v>0.15</v>
      </c>
    </row>
    <row r="62" spans="1:5" ht="18.75" x14ac:dyDescent="0.25">
      <c r="A62" s="44">
        <f t="shared" si="0"/>
        <v>56</v>
      </c>
      <c r="B62" s="51" t="s">
        <v>109</v>
      </c>
      <c r="C62" s="58">
        <v>0.15</v>
      </c>
      <c r="D62" s="58">
        <v>0.15</v>
      </c>
      <c r="E62" s="58">
        <v>0.15</v>
      </c>
    </row>
    <row r="63" spans="1:5" ht="18.75" x14ac:dyDescent="0.25">
      <c r="A63" s="44">
        <f t="shared" si="0"/>
        <v>57</v>
      </c>
      <c r="B63" s="51" t="s">
        <v>110</v>
      </c>
      <c r="C63" s="58">
        <v>0.15</v>
      </c>
      <c r="D63" s="58">
        <v>0.15</v>
      </c>
      <c r="E63" s="58">
        <v>0.15</v>
      </c>
    </row>
    <row r="64" spans="1:5" s="50" customFormat="1" ht="18.75" x14ac:dyDescent="0.25">
      <c r="A64" s="44">
        <f t="shared" si="0"/>
        <v>58</v>
      </c>
      <c r="B64" s="46" t="s">
        <v>111</v>
      </c>
      <c r="C64" s="57">
        <v>133.19999999999999</v>
      </c>
      <c r="D64" s="57">
        <v>134.5</v>
      </c>
      <c r="E64" s="57">
        <v>135.80000000000001</v>
      </c>
    </row>
    <row r="65" spans="1:5" ht="18.75" x14ac:dyDescent="0.25">
      <c r="A65" s="44">
        <f t="shared" si="0"/>
        <v>59</v>
      </c>
      <c r="B65" s="51" t="s">
        <v>112</v>
      </c>
      <c r="C65" s="58">
        <v>0.15</v>
      </c>
      <c r="D65" s="58">
        <v>0.15</v>
      </c>
      <c r="E65" s="58">
        <v>0.15</v>
      </c>
    </row>
    <row r="66" spans="1:5" ht="18.75" x14ac:dyDescent="0.25">
      <c r="A66" s="44">
        <f t="shared" si="0"/>
        <v>60</v>
      </c>
      <c r="B66" s="51" t="s">
        <v>113</v>
      </c>
      <c r="C66" s="58">
        <v>0.15</v>
      </c>
      <c r="D66" s="58">
        <v>0.15</v>
      </c>
      <c r="E66" s="58">
        <v>0.15</v>
      </c>
    </row>
    <row r="67" spans="1:5" ht="18.75" x14ac:dyDescent="0.25">
      <c r="A67" s="44">
        <f t="shared" si="0"/>
        <v>61</v>
      </c>
      <c r="B67" s="51" t="s">
        <v>114</v>
      </c>
      <c r="C67" s="58">
        <v>0.15</v>
      </c>
      <c r="D67" s="58">
        <v>0.15</v>
      </c>
      <c r="E67" s="58">
        <v>0.15</v>
      </c>
    </row>
    <row r="68" spans="1:5" ht="18.75" x14ac:dyDescent="0.25">
      <c r="A68" s="44">
        <f t="shared" si="0"/>
        <v>62</v>
      </c>
      <c r="B68" s="51" t="s">
        <v>115</v>
      </c>
      <c r="C68" s="58">
        <v>0.15</v>
      </c>
      <c r="D68" s="58">
        <v>0.15</v>
      </c>
      <c r="E68" s="58">
        <v>0.15</v>
      </c>
    </row>
    <row r="69" spans="1:5" ht="18.75" x14ac:dyDescent="0.25">
      <c r="A69" s="44">
        <f t="shared" si="0"/>
        <v>63</v>
      </c>
      <c r="B69" s="51" t="s">
        <v>116</v>
      </c>
      <c r="C69" s="58">
        <v>0.15</v>
      </c>
      <c r="D69" s="58">
        <v>0.15</v>
      </c>
      <c r="E69" s="58">
        <v>0.15</v>
      </c>
    </row>
    <row r="70" spans="1:5" ht="18.75" x14ac:dyDescent="0.25">
      <c r="A70" s="44">
        <f t="shared" si="0"/>
        <v>64</v>
      </c>
      <c r="B70" s="51" t="s">
        <v>117</v>
      </c>
      <c r="C70" s="58">
        <v>0.15</v>
      </c>
      <c r="D70" s="58">
        <v>0.15</v>
      </c>
      <c r="E70" s="58">
        <v>0.15</v>
      </c>
    </row>
    <row r="71" spans="1:5" ht="18.75" x14ac:dyDescent="0.25">
      <c r="A71" s="44">
        <f t="shared" si="0"/>
        <v>65</v>
      </c>
      <c r="B71" s="51" t="s">
        <v>118</v>
      </c>
      <c r="C71" s="58">
        <v>0.15</v>
      </c>
      <c r="D71" s="58">
        <v>0.15</v>
      </c>
      <c r="E71" s="58">
        <v>0.15</v>
      </c>
    </row>
    <row r="72" spans="1:5" ht="18.75" x14ac:dyDescent="0.25">
      <c r="A72" s="44">
        <f t="shared" si="0"/>
        <v>66</v>
      </c>
      <c r="B72" s="51" t="s">
        <v>119</v>
      </c>
      <c r="C72" s="58">
        <v>0.15</v>
      </c>
      <c r="D72" s="58">
        <v>0.15</v>
      </c>
      <c r="E72" s="58">
        <v>0.15</v>
      </c>
    </row>
    <row r="73" spans="1:5" s="50" customFormat="1" ht="18.75" x14ac:dyDescent="0.25">
      <c r="A73" s="44">
        <f t="shared" si="0"/>
        <v>67</v>
      </c>
      <c r="B73" s="46" t="s">
        <v>120</v>
      </c>
      <c r="C73" s="57">
        <v>266.5</v>
      </c>
      <c r="D73" s="57">
        <v>269</v>
      </c>
      <c r="E73" s="57">
        <v>271.5</v>
      </c>
    </row>
    <row r="74" spans="1:5" ht="18.75" x14ac:dyDescent="0.25">
      <c r="A74" s="44">
        <f t="shared" si="0"/>
        <v>68</v>
      </c>
      <c r="B74" s="51" t="s">
        <v>121</v>
      </c>
      <c r="C74" s="58">
        <v>0.15</v>
      </c>
      <c r="D74" s="58">
        <v>0.15</v>
      </c>
      <c r="E74" s="58">
        <v>0.15</v>
      </c>
    </row>
    <row r="75" spans="1:5" ht="18.75" x14ac:dyDescent="0.25">
      <c r="A75" s="44">
        <f t="shared" ref="A75:A138" si="1">A74+1</f>
        <v>69</v>
      </c>
      <c r="B75" s="51" t="s">
        <v>122</v>
      </c>
      <c r="C75" s="58">
        <v>0.15</v>
      </c>
      <c r="D75" s="58">
        <v>0.15</v>
      </c>
      <c r="E75" s="58">
        <v>0.15</v>
      </c>
    </row>
    <row r="76" spans="1:5" ht="18.75" x14ac:dyDescent="0.25">
      <c r="A76" s="44">
        <f t="shared" si="1"/>
        <v>70</v>
      </c>
      <c r="B76" s="51" t="s">
        <v>123</v>
      </c>
      <c r="C76" s="58">
        <v>0.15</v>
      </c>
      <c r="D76" s="58">
        <v>0.15</v>
      </c>
      <c r="E76" s="58">
        <v>0.15</v>
      </c>
    </row>
    <row r="77" spans="1:5" ht="18.75" x14ac:dyDescent="0.25">
      <c r="A77" s="44">
        <f t="shared" si="1"/>
        <v>71</v>
      </c>
      <c r="B77" s="51" t="s">
        <v>124</v>
      </c>
      <c r="C77" s="58">
        <v>0.15</v>
      </c>
      <c r="D77" s="58">
        <v>0.15</v>
      </c>
      <c r="E77" s="58">
        <v>0.15</v>
      </c>
    </row>
    <row r="78" spans="1:5" ht="18.75" x14ac:dyDescent="0.25">
      <c r="A78" s="44">
        <f t="shared" si="1"/>
        <v>72</v>
      </c>
      <c r="B78" s="51" t="s">
        <v>125</v>
      </c>
      <c r="C78" s="58">
        <v>0.15</v>
      </c>
      <c r="D78" s="58">
        <v>0.15</v>
      </c>
      <c r="E78" s="58">
        <v>0.15</v>
      </c>
    </row>
    <row r="79" spans="1:5" ht="18.75" x14ac:dyDescent="0.25">
      <c r="A79" s="44">
        <f t="shared" si="1"/>
        <v>73</v>
      </c>
      <c r="B79" s="51" t="s">
        <v>126</v>
      </c>
      <c r="C79" s="58">
        <v>0.15</v>
      </c>
      <c r="D79" s="58">
        <v>0.15</v>
      </c>
      <c r="E79" s="58">
        <v>0.15</v>
      </c>
    </row>
    <row r="80" spans="1:5" ht="18.75" x14ac:dyDescent="0.25">
      <c r="A80" s="44">
        <f t="shared" si="1"/>
        <v>74</v>
      </c>
      <c r="B80" s="51" t="s">
        <v>127</v>
      </c>
      <c r="C80" s="58">
        <v>0.15</v>
      </c>
      <c r="D80" s="58">
        <v>0.15</v>
      </c>
      <c r="E80" s="58">
        <v>0.15</v>
      </c>
    </row>
    <row r="81" spans="1:5" ht="18.75" x14ac:dyDescent="0.25">
      <c r="A81" s="44">
        <f t="shared" si="1"/>
        <v>75</v>
      </c>
      <c r="B81" s="51" t="s">
        <v>128</v>
      </c>
      <c r="C81" s="58">
        <v>0.15</v>
      </c>
      <c r="D81" s="58">
        <v>0.15</v>
      </c>
      <c r="E81" s="58">
        <v>0.15</v>
      </c>
    </row>
    <row r="82" spans="1:5" ht="18.75" x14ac:dyDescent="0.25">
      <c r="A82" s="44">
        <f t="shared" si="1"/>
        <v>76</v>
      </c>
      <c r="B82" s="51" t="s">
        <v>129</v>
      </c>
      <c r="C82" s="58">
        <v>0.15</v>
      </c>
      <c r="D82" s="58">
        <v>0.15</v>
      </c>
      <c r="E82" s="58">
        <v>0.15</v>
      </c>
    </row>
    <row r="83" spans="1:5" ht="18.75" x14ac:dyDescent="0.25">
      <c r="A83" s="44">
        <f t="shared" si="1"/>
        <v>77</v>
      </c>
      <c r="B83" s="51" t="s">
        <v>130</v>
      </c>
      <c r="C83" s="58">
        <v>0.15</v>
      </c>
      <c r="D83" s="58">
        <v>0.15</v>
      </c>
      <c r="E83" s="58">
        <v>0.15</v>
      </c>
    </row>
    <row r="84" spans="1:5" ht="18.75" x14ac:dyDescent="0.25">
      <c r="A84" s="44">
        <f t="shared" si="1"/>
        <v>78</v>
      </c>
      <c r="B84" s="51" t="s">
        <v>131</v>
      </c>
      <c r="C84" s="58">
        <v>0.15</v>
      </c>
      <c r="D84" s="58">
        <v>0.15</v>
      </c>
      <c r="E84" s="58">
        <v>0.15</v>
      </c>
    </row>
    <row r="85" spans="1:5" ht="18.75" x14ac:dyDescent="0.25">
      <c r="A85" s="44">
        <f t="shared" si="1"/>
        <v>79</v>
      </c>
      <c r="B85" s="51" t="s">
        <v>132</v>
      </c>
      <c r="C85" s="58">
        <v>0.15</v>
      </c>
      <c r="D85" s="58">
        <v>0.15</v>
      </c>
      <c r="E85" s="58">
        <v>0.15</v>
      </c>
    </row>
    <row r="86" spans="1:5" ht="18.75" x14ac:dyDescent="0.25">
      <c r="A86" s="44">
        <f t="shared" si="1"/>
        <v>80</v>
      </c>
      <c r="B86" s="51" t="s">
        <v>133</v>
      </c>
      <c r="C86" s="58">
        <v>0.15</v>
      </c>
      <c r="D86" s="58">
        <v>0.15</v>
      </c>
      <c r="E86" s="58">
        <v>0.15</v>
      </c>
    </row>
    <row r="87" spans="1:5" ht="18.75" x14ac:dyDescent="0.25">
      <c r="A87" s="44">
        <f t="shared" si="1"/>
        <v>81</v>
      </c>
      <c r="B87" s="51" t="s">
        <v>134</v>
      </c>
      <c r="C87" s="58">
        <v>0.15</v>
      </c>
      <c r="D87" s="58">
        <v>0.15</v>
      </c>
      <c r="E87" s="58">
        <v>0.15</v>
      </c>
    </row>
    <row r="88" spans="1:5" ht="18.75" x14ac:dyDescent="0.25">
      <c r="A88" s="44">
        <f t="shared" si="1"/>
        <v>82</v>
      </c>
      <c r="B88" s="51" t="s">
        <v>135</v>
      </c>
      <c r="C88" s="58">
        <v>0.15</v>
      </c>
      <c r="D88" s="58">
        <v>0.15</v>
      </c>
      <c r="E88" s="58">
        <v>0.15</v>
      </c>
    </row>
    <row r="89" spans="1:5" ht="18.75" x14ac:dyDescent="0.25">
      <c r="A89" s="44">
        <f t="shared" si="1"/>
        <v>83</v>
      </c>
      <c r="B89" s="51" t="s">
        <v>136</v>
      </c>
      <c r="C89" s="58">
        <v>0.15</v>
      </c>
      <c r="D89" s="58">
        <v>0.15</v>
      </c>
      <c r="E89" s="58">
        <v>0.15</v>
      </c>
    </row>
    <row r="90" spans="1:5" ht="18.75" x14ac:dyDescent="0.25">
      <c r="A90" s="44">
        <f t="shared" si="1"/>
        <v>84</v>
      </c>
      <c r="B90" s="51" t="s">
        <v>137</v>
      </c>
      <c r="C90" s="58">
        <v>0.15</v>
      </c>
      <c r="D90" s="58">
        <v>0.15</v>
      </c>
      <c r="E90" s="58">
        <v>0.15</v>
      </c>
    </row>
    <row r="91" spans="1:5" ht="18.75" x14ac:dyDescent="0.25">
      <c r="A91" s="44">
        <f t="shared" si="1"/>
        <v>85</v>
      </c>
      <c r="B91" s="51" t="s">
        <v>138</v>
      </c>
      <c r="C91" s="58">
        <v>0.15</v>
      </c>
      <c r="D91" s="58">
        <v>0.15</v>
      </c>
      <c r="E91" s="58">
        <v>0.15</v>
      </c>
    </row>
    <row r="92" spans="1:5" s="50" customFormat="1" ht="18.75" x14ac:dyDescent="0.25">
      <c r="A92" s="44">
        <f t="shared" si="1"/>
        <v>86</v>
      </c>
      <c r="B92" s="46" t="s">
        <v>139</v>
      </c>
      <c r="C92" s="57">
        <v>133.19999999999999</v>
      </c>
      <c r="D92" s="57">
        <v>134.5</v>
      </c>
      <c r="E92" s="57">
        <v>135.80000000000001</v>
      </c>
    </row>
    <row r="93" spans="1:5" ht="18.75" x14ac:dyDescent="0.25">
      <c r="A93" s="44">
        <f t="shared" si="1"/>
        <v>87</v>
      </c>
      <c r="B93" s="51" t="s">
        <v>140</v>
      </c>
      <c r="C93" s="58">
        <v>0.15</v>
      </c>
      <c r="D93" s="58">
        <v>0.15</v>
      </c>
      <c r="E93" s="58">
        <v>0.15</v>
      </c>
    </row>
    <row r="94" spans="1:5" ht="18.75" x14ac:dyDescent="0.25">
      <c r="A94" s="44">
        <f t="shared" si="1"/>
        <v>88</v>
      </c>
      <c r="B94" s="51" t="s">
        <v>141</v>
      </c>
      <c r="C94" s="58">
        <v>0.15</v>
      </c>
      <c r="D94" s="58">
        <v>0.15</v>
      </c>
      <c r="E94" s="58">
        <v>0.15</v>
      </c>
    </row>
    <row r="95" spans="1:5" ht="18.75" x14ac:dyDescent="0.25">
      <c r="A95" s="44">
        <f t="shared" si="1"/>
        <v>89</v>
      </c>
      <c r="B95" s="51" t="s">
        <v>142</v>
      </c>
      <c r="C95" s="58">
        <v>0.15</v>
      </c>
      <c r="D95" s="58">
        <v>0.15</v>
      </c>
      <c r="E95" s="58">
        <v>0.15</v>
      </c>
    </row>
    <row r="96" spans="1:5" ht="18.75" x14ac:dyDescent="0.25">
      <c r="A96" s="44">
        <f t="shared" si="1"/>
        <v>90</v>
      </c>
      <c r="B96" s="51" t="s">
        <v>143</v>
      </c>
      <c r="C96" s="58">
        <v>0.15</v>
      </c>
      <c r="D96" s="58">
        <v>0.15</v>
      </c>
      <c r="E96" s="58">
        <v>0.15</v>
      </c>
    </row>
    <row r="97" spans="1:5" ht="18.75" x14ac:dyDescent="0.25">
      <c r="A97" s="44">
        <f t="shared" si="1"/>
        <v>91</v>
      </c>
      <c r="B97" s="51" t="s">
        <v>144</v>
      </c>
      <c r="C97" s="58">
        <v>0.15</v>
      </c>
      <c r="D97" s="58">
        <v>0.15</v>
      </c>
      <c r="E97" s="58">
        <v>0.15</v>
      </c>
    </row>
    <row r="98" spans="1:5" s="50" customFormat="1" ht="18.75" x14ac:dyDescent="0.25">
      <c r="A98" s="44">
        <f t="shared" si="1"/>
        <v>92</v>
      </c>
      <c r="B98" s="46" t="s">
        <v>145</v>
      </c>
      <c r="C98" s="57">
        <v>66.599999999999994</v>
      </c>
      <c r="D98" s="57">
        <v>67.2</v>
      </c>
      <c r="E98" s="57">
        <v>67.900000000000006</v>
      </c>
    </row>
    <row r="99" spans="1:5" ht="18.75" x14ac:dyDescent="0.25">
      <c r="A99" s="44">
        <f t="shared" si="1"/>
        <v>93</v>
      </c>
      <c r="B99" s="51" t="s">
        <v>146</v>
      </c>
      <c r="C99" s="58">
        <v>0.15</v>
      </c>
      <c r="D99" s="58">
        <v>0.15</v>
      </c>
      <c r="E99" s="58">
        <v>0.15</v>
      </c>
    </row>
    <row r="100" spans="1:5" ht="18.75" x14ac:dyDescent="0.25">
      <c r="A100" s="44">
        <f t="shared" si="1"/>
        <v>94</v>
      </c>
      <c r="B100" s="51" t="s">
        <v>147</v>
      </c>
      <c r="C100" s="58">
        <v>0.15</v>
      </c>
      <c r="D100" s="58">
        <v>0.15</v>
      </c>
      <c r="E100" s="58">
        <v>0.15</v>
      </c>
    </row>
    <row r="101" spans="1:5" ht="18.75" x14ac:dyDescent="0.25">
      <c r="A101" s="44">
        <f t="shared" si="1"/>
        <v>95</v>
      </c>
      <c r="B101" s="51" t="s">
        <v>148</v>
      </c>
      <c r="C101" s="58">
        <v>0.15</v>
      </c>
      <c r="D101" s="58">
        <v>0.15</v>
      </c>
      <c r="E101" s="58">
        <v>0.15</v>
      </c>
    </row>
    <row r="102" spans="1:5" ht="18.75" x14ac:dyDescent="0.25">
      <c r="A102" s="44">
        <f t="shared" si="1"/>
        <v>96</v>
      </c>
      <c r="B102" s="51" t="s">
        <v>149</v>
      </c>
      <c r="C102" s="58">
        <v>0.15</v>
      </c>
      <c r="D102" s="58">
        <v>0.15</v>
      </c>
      <c r="E102" s="58">
        <v>0.15</v>
      </c>
    </row>
    <row r="103" spans="1:5" ht="18.75" x14ac:dyDescent="0.25">
      <c r="A103" s="44">
        <f t="shared" si="1"/>
        <v>97</v>
      </c>
      <c r="B103" s="51" t="s">
        <v>150</v>
      </c>
      <c r="C103" s="58">
        <v>0.15</v>
      </c>
      <c r="D103" s="58">
        <v>0.15</v>
      </c>
      <c r="E103" s="58">
        <v>0.15</v>
      </c>
    </row>
    <row r="104" spans="1:5" ht="18.75" x14ac:dyDescent="0.25">
      <c r="A104" s="44">
        <f t="shared" si="1"/>
        <v>98</v>
      </c>
      <c r="B104" s="51" t="s">
        <v>151</v>
      </c>
      <c r="C104" s="58">
        <v>0.15</v>
      </c>
      <c r="D104" s="58">
        <v>0.15</v>
      </c>
      <c r="E104" s="58">
        <v>0.15</v>
      </c>
    </row>
    <row r="105" spans="1:5" ht="18.75" x14ac:dyDescent="0.25">
      <c r="A105" s="44">
        <f t="shared" si="1"/>
        <v>99</v>
      </c>
      <c r="B105" s="51" t="s">
        <v>152</v>
      </c>
      <c r="C105" s="58">
        <v>0.15</v>
      </c>
      <c r="D105" s="58">
        <v>0.15</v>
      </c>
      <c r="E105" s="58">
        <v>0.15</v>
      </c>
    </row>
    <row r="106" spans="1:5" s="50" customFormat="1" ht="18.75" x14ac:dyDescent="0.25">
      <c r="A106" s="44">
        <f t="shared" si="1"/>
        <v>100</v>
      </c>
      <c r="B106" s="46" t="s">
        <v>33</v>
      </c>
      <c r="C106" s="57">
        <v>66.599999999999994</v>
      </c>
      <c r="D106" s="57">
        <v>67.2</v>
      </c>
      <c r="E106" s="57">
        <v>67.900000000000006</v>
      </c>
    </row>
    <row r="107" spans="1:5" ht="18.75" x14ac:dyDescent="0.25">
      <c r="A107" s="44">
        <f t="shared" si="1"/>
        <v>101</v>
      </c>
      <c r="B107" s="51" t="s">
        <v>153</v>
      </c>
      <c r="C107" s="58">
        <v>0.15</v>
      </c>
      <c r="D107" s="58">
        <v>0.15</v>
      </c>
      <c r="E107" s="58">
        <v>0.15</v>
      </c>
    </row>
    <row r="108" spans="1:5" ht="18.75" x14ac:dyDescent="0.25">
      <c r="A108" s="44">
        <f t="shared" si="1"/>
        <v>102</v>
      </c>
      <c r="B108" s="51" t="s">
        <v>154</v>
      </c>
      <c r="C108" s="58">
        <v>0.15</v>
      </c>
      <c r="D108" s="58">
        <v>0.15</v>
      </c>
      <c r="E108" s="58">
        <v>0.15</v>
      </c>
    </row>
    <row r="109" spans="1:5" ht="18.75" x14ac:dyDescent="0.25">
      <c r="A109" s="44">
        <f t="shared" si="1"/>
        <v>103</v>
      </c>
      <c r="B109" s="51" t="s">
        <v>155</v>
      </c>
      <c r="C109" s="58">
        <v>0.15</v>
      </c>
      <c r="D109" s="58">
        <v>0.15</v>
      </c>
      <c r="E109" s="58">
        <v>0.15</v>
      </c>
    </row>
    <row r="110" spans="1:5" ht="18.75" x14ac:dyDescent="0.25">
      <c r="A110" s="44">
        <f t="shared" si="1"/>
        <v>104</v>
      </c>
      <c r="B110" s="51" t="s">
        <v>156</v>
      </c>
      <c r="C110" s="58">
        <v>0.15</v>
      </c>
      <c r="D110" s="58">
        <v>0.15</v>
      </c>
      <c r="E110" s="58">
        <v>0.15</v>
      </c>
    </row>
    <row r="111" spans="1:5" ht="18.75" x14ac:dyDescent="0.25">
      <c r="A111" s="44">
        <f t="shared" si="1"/>
        <v>105</v>
      </c>
      <c r="B111" s="51" t="s">
        <v>157</v>
      </c>
      <c r="C111" s="58">
        <v>0.15</v>
      </c>
      <c r="D111" s="58">
        <v>0.15</v>
      </c>
      <c r="E111" s="58">
        <v>0.15</v>
      </c>
    </row>
    <row r="112" spans="1:5" ht="18.75" x14ac:dyDescent="0.25">
      <c r="A112" s="44">
        <f t="shared" si="1"/>
        <v>106</v>
      </c>
      <c r="B112" s="51" t="s">
        <v>158</v>
      </c>
      <c r="C112" s="58">
        <v>0.15</v>
      </c>
      <c r="D112" s="58">
        <v>0.15</v>
      </c>
      <c r="E112" s="58">
        <v>0.15</v>
      </c>
    </row>
    <row r="113" spans="1:7" ht="18.75" x14ac:dyDescent="0.25">
      <c r="A113" s="44">
        <f t="shared" si="1"/>
        <v>107</v>
      </c>
      <c r="B113" s="51" t="s">
        <v>159</v>
      </c>
      <c r="C113" s="58">
        <v>0.15</v>
      </c>
      <c r="D113" s="58">
        <v>0.15</v>
      </c>
      <c r="E113" s="58">
        <v>0.15</v>
      </c>
    </row>
    <row r="114" spans="1:7" ht="18.75" x14ac:dyDescent="0.25">
      <c r="A114" s="44">
        <f t="shared" si="1"/>
        <v>108</v>
      </c>
      <c r="B114" s="51" t="s">
        <v>160</v>
      </c>
      <c r="C114" s="58">
        <v>0.15</v>
      </c>
      <c r="D114" s="58">
        <v>0.15</v>
      </c>
      <c r="E114" s="58">
        <v>0.15</v>
      </c>
    </row>
    <row r="115" spans="1:7" ht="18.75" x14ac:dyDescent="0.25">
      <c r="A115" s="44">
        <f t="shared" si="1"/>
        <v>109</v>
      </c>
      <c r="B115" s="51" t="s">
        <v>161</v>
      </c>
      <c r="C115" s="58">
        <v>0.15</v>
      </c>
      <c r="D115" s="58">
        <v>0.15</v>
      </c>
      <c r="E115" s="58">
        <v>0.15</v>
      </c>
    </row>
    <row r="116" spans="1:7" ht="18.75" x14ac:dyDescent="0.25">
      <c r="A116" s="44">
        <f t="shared" si="1"/>
        <v>110</v>
      </c>
      <c r="B116" s="51" t="s">
        <v>162</v>
      </c>
      <c r="C116" s="58">
        <v>0.15</v>
      </c>
      <c r="D116" s="58">
        <v>0.15</v>
      </c>
      <c r="E116" s="58">
        <v>0.15</v>
      </c>
    </row>
    <row r="117" spans="1:7" ht="18.75" x14ac:dyDescent="0.25">
      <c r="A117" s="44">
        <f t="shared" si="1"/>
        <v>111</v>
      </c>
      <c r="B117" s="51" t="s">
        <v>163</v>
      </c>
      <c r="C117" s="58">
        <v>0.15</v>
      </c>
      <c r="D117" s="58">
        <v>0.15</v>
      </c>
      <c r="E117" s="58">
        <v>0.15</v>
      </c>
    </row>
    <row r="118" spans="1:7" ht="18.75" x14ac:dyDescent="0.25">
      <c r="A118" s="44">
        <f t="shared" si="1"/>
        <v>112</v>
      </c>
      <c r="B118" s="51" t="s">
        <v>164</v>
      </c>
      <c r="C118" s="58">
        <v>0.15</v>
      </c>
      <c r="D118" s="58">
        <v>0.15</v>
      </c>
      <c r="E118" s="58">
        <v>0.15</v>
      </c>
      <c r="G118" s="48"/>
    </row>
    <row r="119" spans="1:7" ht="18.75" x14ac:dyDescent="0.25">
      <c r="A119" s="44">
        <f t="shared" si="1"/>
        <v>113</v>
      </c>
      <c r="B119" s="51" t="s">
        <v>165</v>
      </c>
      <c r="C119" s="58">
        <v>0.15</v>
      </c>
      <c r="D119" s="58">
        <v>0.15</v>
      </c>
      <c r="E119" s="58">
        <v>0.15</v>
      </c>
    </row>
    <row r="120" spans="1:7" ht="18.75" x14ac:dyDescent="0.25">
      <c r="A120" s="44">
        <f t="shared" si="1"/>
        <v>114</v>
      </c>
      <c r="B120" s="51" t="s">
        <v>166</v>
      </c>
      <c r="C120" s="58">
        <v>0.15</v>
      </c>
      <c r="D120" s="58">
        <v>0.15</v>
      </c>
      <c r="E120" s="58">
        <v>0.15</v>
      </c>
    </row>
    <row r="121" spans="1:7" s="50" customFormat="1" ht="18.75" x14ac:dyDescent="0.25">
      <c r="A121" s="44">
        <f t="shared" si="1"/>
        <v>115</v>
      </c>
      <c r="B121" s="46" t="s">
        <v>167</v>
      </c>
      <c r="C121" s="57">
        <v>266.5</v>
      </c>
      <c r="D121" s="57">
        <v>269</v>
      </c>
      <c r="E121" s="57">
        <v>271.5</v>
      </c>
    </row>
    <row r="122" spans="1:7" ht="18.75" x14ac:dyDescent="0.25">
      <c r="A122" s="44">
        <f t="shared" si="1"/>
        <v>116</v>
      </c>
      <c r="B122" s="46" t="s">
        <v>168</v>
      </c>
      <c r="C122" s="58">
        <v>0.15</v>
      </c>
      <c r="D122" s="58">
        <v>0.15</v>
      </c>
      <c r="E122" s="58">
        <v>0.15</v>
      </c>
    </row>
    <row r="123" spans="1:7" ht="18.75" x14ac:dyDescent="0.25">
      <c r="A123" s="44">
        <f t="shared" si="1"/>
        <v>117</v>
      </c>
      <c r="B123" s="52" t="s">
        <v>169</v>
      </c>
      <c r="C123" s="58">
        <v>0.15</v>
      </c>
      <c r="D123" s="58">
        <v>0.15</v>
      </c>
      <c r="E123" s="58">
        <v>0.15</v>
      </c>
    </row>
    <row r="124" spans="1:7" ht="18.75" x14ac:dyDescent="0.25">
      <c r="A124" s="44">
        <f t="shared" si="1"/>
        <v>118</v>
      </c>
      <c r="B124" s="52" t="s">
        <v>170</v>
      </c>
      <c r="C124" s="58">
        <v>0.15</v>
      </c>
      <c r="D124" s="58">
        <v>0.15</v>
      </c>
      <c r="E124" s="58">
        <v>0.15</v>
      </c>
    </row>
    <row r="125" spans="1:7" ht="18.75" x14ac:dyDescent="0.25">
      <c r="A125" s="44">
        <f t="shared" si="1"/>
        <v>119</v>
      </c>
      <c r="B125" s="52" t="s">
        <v>171</v>
      </c>
      <c r="C125" s="58">
        <v>0.15</v>
      </c>
      <c r="D125" s="58">
        <v>0.15</v>
      </c>
      <c r="E125" s="58">
        <v>0.15</v>
      </c>
    </row>
    <row r="126" spans="1:7" ht="18.75" x14ac:dyDescent="0.25">
      <c r="A126" s="44">
        <f t="shared" si="1"/>
        <v>120</v>
      </c>
      <c r="B126" s="52" t="s">
        <v>172</v>
      </c>
      <c r="C126" s="58">
        <v>0.15</v>
      </c>
      <c r="D126" s="58">
        <v>0.15</v>
      </c>
      <c r="E126" s="58">
        <v>0.15</v>
      </c>
    </row>
    <row r="127" spans="1:7" ht="18.75" x14ac:dyDescent="0.25">
      <c r="A127" s="44">
        <f t="shared" si="1"/>
        <v>121</v>
      </c>
      <c r="B127" s="52" t="s">
        <v>173</v>
      </c>
      <c r="C127" s="58">
        <v>0.15</v>
      </c>
      <c r="D127" s="58">
        <v>0.15</v>
      </c>
      <c r="E127" s="58">
        <v>0.15</v>
      </c>
    </row>
    <row r="128" spans="1:7" ht="18.75" x14ac:dyDescent="0.25">
      <c r="A128" s="44">
        <f t="shared" si="1"/>
        <v>122</v>
      </c>
      <c r="B128" s="51" t="s">
        <v>174</v>
      </c>
      <c r="C128" s="58">
        <v>0.15</v>
      </c>
      <c r="D128" s="58">
        <v>0.15</v>
      </c>
      <c r="E128" s="58">
        <v>0.15</v>
      </c>
    </row>
    <row r="129" spans="1:5" ht="18.75" x14ac:dyDescent="0.25">
      <c r="A129" s="44">
        <f t="shared" si="1"/>
        <v>123</v>
      </c>
      <c r="B129" s="51" t="s">
        <v>175</v>
      </c>
      <c r="C129" s="58">
        <v>0.15</v>
      </c>
      <c r="D129" s="58">
        <v>0.15</v>
      </c>
      <c r="E129" s="58">
        <v>0.15</v>
      </c>
    </row>
    <row r="130" spans="1:5" ht="18.75" x14ac:dyDescent="0.25">
      <c r="A130" s="44">
        <f t="shared" si="1"/>
        <v>124</v>
      </c>
      <c r="B130" s="51" t="s">
        <v>176</v>
      </c>
      <c r="C130" s="58">
        <v>0.15</v>
      </c>
      <c r="D130" s="58">
        <v>0.15</v>
      </c>
      <c r="E130" s="58">
        <v>0.15</v>
      </c>
    </row>
    <row r="131" spans="1:5" ht="18.75" x14ac:dyDescent="0.25">
      <c r="A131" s="44">
        <f t="shared" si="1"/>
        <v>125</v>
      </c>
      <c r="B131" s="51" t="s">
        <v>177</v>
      </c>
      <c r="C131" s="58">
        <v>0.15</v>
      </c>
      <c r="D131" s="58">
        <v>0.15</v>
      </c>
      <c r="E131" s="58">
        <v>0.15</v>
      </c>
    </row>
    <row r="132" spans="1:5" ht="18.75" x14ac:dyDescent="0.25">
      <c r="A132" s="44">
        <f t="shared" si="1"/>
        <v>126</v>
      </c>
      <c r="B132" s="51" t="s">
        <v>178</v>
      </c>
      <c r="C132" s="58">
        <v>0.15</v>
      </c>
      <c r="D132" s="58">
        <v>0.15</v>
      </c>
      <c r="E132" s="58">
        <v>0.15</v>
      </c>
    </row>
    <row r="133" spans="1:5" ht="18.75" x14ac:dyDescent="0.25">
      <c r="A133" s="44">
        <f t="shared" si="1"/>
        <v>127</v>
      </c>
      <c r="B133" s="51" t="s">
        <v>179</v>
      </c>
      <c r="C133" s="58">
        <v>0.15</v>
      </c>
      <c r="D133" s="58">
        <v>0.15</v>
      </c>
      <c r="E133" s="58">
        <v>0.15</v>
      </c>
    </row>
    <row r="134" spans="1:5" ht="18.75" x14ac:dyDescent="0.25">
      <c r="A134" s="44">
        <f t="shared" si="1"/>
        <v>128</v>
      </c>
      <c r="B134" s="51" t="s">
        <v>180</v>
      </c>
      <c r="C134" s="58">
        <v>0.15</v>
      </c>
      <c r="D134" s="58">
        <v>0.15</v>
      </c>
      <c r="E134" s="58">
        <v>0.15</v>
      </c>
    </row>
    <row r="135" spans="1:5" ht="18.75" x14ac:dyDescent="0.25">
      <c r="A135" s="44">
        <f t="shared" si="1"/>
        <v>129</v>
      </c>
      <c r="B135" s="51" t="s">
        <v>181</v>
      </c>
      <c r="C135" s="58">
        <v>0.15</v>
      </c>
      <c r="D135" s="58">
        <v>0.15</v>
      </c>
      <c r="E135" s="58">
        <v>0.15</v>
      </c>
    </row>
    <row r="136" spans="1:5" ht="18.75" x14ac:dyDescent="0.25">
      <c r="A136" s="44">
        <f t="shared" si="1"/>
        <v>130</v>
      </c>
      <c r="B136" s="51" t="s">
        <v>182</v>
      </c>
      <c r="C136" s="58">
        <v>0.15</v>
      </c>
      <c r="D136" s="58">
        <v>0.15</v>
      </c>
      <c r="E136" s="58">
        <v>0.15</v>
      </c>
    </row>
    <row r="137" spans="1:5" ht="18.75" x14ac:dyDescent="0.25">
      <c r="A137" s="44">
        <f t="shared" si="1"/>
        <v>131</v>
      </c>
      <c r="B137" s="51" t="s">
        <v>183</v>
      </c>
      <c r="C137" s="58">
        <v>0.15</v>
      </c>
      <c r="D137" s="58">
        <v>0.15</v>
      </c>
      <c r="E137" s="58">
        <v>0.15</v>
      </c>
    </row>
    <row r="138" spans="1:5" s="50" customFormat="1" ht="18.75" x14ac:dyDescent="0.25">
      <c r="A138" s="44">
        <f t="shared" si="1"/>
        <v>132</v>
      </c>
      <c r="B138" s="46" t="s">
        <v>184</v>
      </c>
      <c r="C138" s="57">
        <v>133.19999999999999</v>
      </c>
      <c r="D138" s="57">
        <v>134.5</v>
      </c>
      <c r="E138" s="57">
        <v>135.80000000000001</v>
      </c>
    </row>
    <row r="139" spans="1:5" ht="18.75" x14ac:dyDescent="0.25">
      <c r="A139" s="44">
        <f t="shared" ref="A139:A202" si="2">A138+1</f>
        <v>133</v>
      </c>
      <c r="B139" s="51" t="s">
        <v>185</v>
      </c>
      <c r="C139" s="58">
        <v>0.15</v>
      </c>
      <c r="D139" s="58">
        <v>0.15</v>
      </c>
      <c r="E139" s="58">
        <v>0.15</v>
      </c>
    </row>
    <row r="140" spans="1:5" ht="18.75" x14ac:dyDescent="0.25">
      <c r="A140" s="44">
        <f t="shared" si="2"/>
        <v>134</v>
      </c>
      <c r="B140" s="51" t="s">
        <v>186</v>
      </c>
      <c r="C140" s="58">
        <v>0.15</v>
      </c>
      <c r="D140" s="58">
        <v>0.15</v>
      </c>
      <c r="E140" s="58">
        <v>0.15</v>
      </c>
    </row>
    <row r="141" spans="1:5" ht="18.75" x14ac:dyDescent="0.25">
      <c r="A141" s="44">
        <f t="shared" si="2"/>
        <v>135</v>
      </c>
      <c r="B141" s="51" t="s">
        <v>187</v>
      </c>
      <c r="C141" s="58">
        <v>0.15</v>
      </c>
      <c r="D141" s="58">
        <v>0.15</v>
      </c>
      <c r="E141" s="58">
        <v>0.15</v>
      </c>
    </row>
    <row r="142" spans="1:5" ht="18.75" x14ac:dyDescent="0.25">
      <c r="A142" s="44">
        <f t="shared" si="2"/>
        <v>136</v>
      </c>
      <c r="B142" s="51" t="s">
        <v>188</v>
      </c>
      <c r="C142" s="58">
        <v>0.15</v>
      </c>
      <c r="D142" s="58">
        <v>0.15</v>
      </c>
      <c r="E142" s="58">
        <v>0.15</v>
      </c>
    </row>
    <row r="143" spans="1:5" ht="18.75" x14ac:dyDescent="0.25">
      <c r="A143" s="44">
        <f t="shared" si="2"/>
        <v>137</v>
      </c>
      <c r="B143" s="51" t="s">
        <v>189</v>
      </c>
      <c r="C143" s="58">
        <v>0.15</v>
      </c>
      <c r="D143" s="58">
        <v>0.15</v>
      </c>
      <c r="E143" s="58">
        <v>0.15</v>
      </c>
    </row>
    <row r="144" spans="1:5" s="50" customFormat="1" ht="18.75" x14ac:dyDescent="0.25">
      <c r="A144" s="44">
        <f t="shared" si="2"/>
        <v>138</v>
      </c>
      <c r="B144" s="46" t="s">
        <v>190</v>
      </c>
      <c r="C144" s="57">
        <v>199.8</v>
      </c>
      <c r="D144" s="57">
        <v>201.7</v>
      </c>
      <c r="E144" s="57">
        <v>203.6</v>
      </c>
    </row>
    <row r="145" spans="1:5" ht="18.75" x14ac:dyDescent="0.25">
      <c r="A145" s="44">
        <f t="shared" si="2"/>
        <v>139</v>
      </c>
      <c r="B145" s="46" t="s">
        <v>191</v>
      </c>
      <c r="C145" s="58">
        <v>0.15</v>
      </c>
      <c r="D145" s="58">
        <v>0.15</v>
      </c>
      <c r="E145" s="58">
        <v>0.15</v>
      </c>
    </row>
    <row r="146" spans="1:5" ht="18.75" x14ac:dyDescent="0.25">
      <c r="A146" s="44">
        <f t="shared" si="2"/>
        <v>140</v>
      </c>
      <c r="B146" s="51" t="s">
        <v>192</v>
      </c>
      <c r="C146" s="58">
        <v>0.15</v>
      </c>
      <c r="D146" s="58">
        <v>0.15</v>
      </c>
      <c r="E146" s="58">
        <v>0.15</v>
      </c>
    </row>
    <row r="147" spans="1:5" ht="18.75" x14ac:dyDescent="0.25">
      <c r="A147" s="44">
        <f t="shared" si="2"/>
        <v>141</v>
      </c>
      <c r="B147" s="51" t="s">
        <v>193</v>
      </c>
      <c r="C147" s="58">
        <v>0.15</v>
      </c>
      <c r="D147" s="58">
        <v>0.15</v>
      </c>
      <c r="E147" s="58">
        <v>0.15</v>
      </c>
    </row>
    <row r="148" spans="1:5" ht="18.75" x14ac:dyDescent="0.25">
      <c r="A148" s="44">
        <f t="shared" si="2"/>
        <v>142</v>
      </c>
      <c r="B148" s="51" t="s">
        <v>194</v>
      </c>
      <c r="C148" s="58">
        <v>0.15</v>
      </c>
      <c r="D148" s="58">
        <v>0.15</v>
      </c>
      <c r="E148" s="58">
        <v>0.15</v>
      </c>
    </row>
    <row r="149" spans="1:5" ht="18.75" x14ac:dyDescent="0.25">
      <c r="A149" s="44">
        <f t="shared" si="2"/>
        <v>143</v>
      </c>
      <c r="B149" s="51" t="s">
        <v>195</v>
      </c>
      <c r="C149" s="58">
        <v>0.15</v>
      </c>
      <c r="D149" s="58">
        <v>0.15</v>
      </c>
      <c r="E149" s="58">
        <v>0.15</v>
      </c>
    </row>
    <row r="150" spans="1:5" ht="18.75" x14ac:dyDescent="0.25">
      <c r="A150" s="44">
        <f t="shared" si="2"/>
        <v>144</v>
      </c>
      <c r="B150" s="51" t="s">
        <v>196</v>
      </c>
      <c r="C150" s="58">
        <v>0.15</v>
      </c>
      <c r="D150" s="58">
        <v>0.15</v>
      </c>
      <c r="E150" s="58">
        <v>0.15</v>
      </c>
    </row>
    <row r="151" spans="1:5" ht="18.75" x14ac:dyDescent="0.25">
      <c r="A151" s="44">
        <f t="shared" si="2"/>
        <v>145</v>
      </c>
      <c r="B151" s="51" t="s">
        <v>197</v>
      </c>
      <c r="C151" s="58">
        <v>0.15</v>
      </c>
      <c r="D151" s="58">
        <v>0.15</v>
      </c>
      <c r="E151" s="58">
        <v>0.15</v>
      </c>
    </row>
    <row r="152" spans="1:5" ht="18.75" x14ac:dyDescent="0.25">
      <c r="A152" s="44">
        <f t="shared" si="2"/>
        <v>146</v>
      </c>
      <c r="B152" s="51" t="s">
        <v>198</v>
      </c>
      <c r="C152" s="58">
        <v>0.15</v>
      </c>
      <c r="D152" s="58">
        <v>0.15</v>
      </c>
      <c r="E152" s="58">
        <v>0.15</v>
      </c>
    </row>
    <row r="153" spans="1:5" s="50" customFormat="1" ht="18.75" x14ac:dyDescent="0.25">
      <c r="A153" s="44">
        <f t="shared" si="2"/>
        <v>147</v>
      </c>
      <c r="B153" s="49" t="s">
        <v>37</v>
      </c>
      <c r="C153" s="57">
        <v>133.19999999999999</v>
      </c>
      <c r="D153" s="57">
        <v>134.5</v>
      </c>
      <c r="E153" s="57">
        <v>135.80000000000001</v>
      </c>
    </row>
    <row r="154" spans="1:5" ht="18.75" x14ac:dyDescent="0.25">
      <c r="A154" s="44">
        <f t="shared" si="2"/>
        <v>148</v>
      </c>
      <c r="B154" s="49" t="s">
        <v>199</v>
      </c>
      <c r="C154" s="58">
        <v>0.15</v>
      </c>
      <c r="D154" s="58">
        <v>0.15</v>
      </c>
      <c r="E154" s="58">
        <v>0.15</v>
      </c>
    </row>
    <row r="155" spans="1:5" ht="18.75" x14ac:dyDescent="0.25">
      <c r="A155" s="44">
        <f t="shared" si="2"/>
        <v>149</v>
      </c>
      <c r="B155" s="51" t="s">
        <v>200</v>
      </c>
      <c r="C155" s="58">
        <v>0.15</v>
      </c>
      <c r="D155" s="58">
        <v>0.15</v>
      </c>
      <c r="E155" s="58">
        <v>0.15</v>
      </c>
    </row>
    <row r="156" spans="1:5" ht="18.75" x14ac:dyDescent="0.25">
      <c r="A156" s="44">
        <f t="shared" si="2"/>
        <v>150</v>
      </c>
      <c r="B156" s="51" t="s">
        <v>201</v>
      </c>
      <c r="C156" s="58">
        <v>0.15</v>
      </c>
      <c r="D156" s="58">
        <v>0.15</v>
      </c>
      <c r="E156" s="58">
        <v>0.15</v>
      </c>
    </row>
    <row r="157" spans="1:5" ht="18.75" x14ac:dyDescent="0.25">
      <c r="A157" s="44">
        <f t="shared" si="2"/>
        <v>151</v>
      </c>
      <c r="B157" s="51" t="s">
        <v>202</v>
      </c>
      <c r="C157" s="58">
        <v>0.15</v>
      </c>
      <c r="D157" s="58">
        <v>0.15</v>
      </c>
      <c r="E157" s="58">
        <v>0.15</v>
      </c>
    </row>
    <row r="158" spans="1:5" s="50" customFormat="1" ht="18.75" x14ac:dyDescent="0.25">
      <c r="A158" s="44">
        <f t="shared" si="2"/>
        <v>152</v>
      </c>
      <c r="B158" s="46" t="s">
        <v>203</v>
      </c>
      <c r="C158" s="57">
        <v>66.599999999999994</v>
      </c>
      <c r="D158" s="57">
        <v>67.2</v>
      </c>
      <c r="E158" s="57">
        <v>67.900000000000006</v>
      </c>
    </row>
    <row r="159" spans="1:5" ht="18.75" x14ac:dyDescent="0.25">
      <c r="A159" s="44">
        <f t="shared" si="2"/>
        <v>153</v>
      </c>
      <c r="B159" s="51" t="s">
        <v>204</v>
      </c>
      <c r="C159" s="58">
        <v>0.15</v>
      </c>
      <c r="D159" s="58">
        <v>0.15</v>
      </c>
      <c r="E159" s="58">
        <v>0.15</v>
      </c>
    </row>
    <row r="160" spans="1:5" ht="18.75" x14ac:dyDescent="0.25">
      <c r="A160" s="44">
        <f t="shared" si="2"/>
        <v>154</v>
      </c>
      <c r="B160" s="51" t="s">
        <v>205</v>
      </c>
      <c r="C160" s="58">
        <v>0.15</v>
      </c>
      <c r="D160" s="58">
        <v>0.15</v>
      </c>
      <c r="E160" s="58">
        <v>0.15</v>
      </c>
    </row>
    <row r="161" spans="1:5" ht="18.75" x14ac:dyDescent="0.25">
      <c r="A161" s="44">
        <f t="shared" si="2"/>
        <v>155</v>
      </c>
      <c r="B161" s="51" t="s">
        <v>206</v>
      </c>
      <c r="C161" s="58">
        <v>0.15</v>
      </c>
      <c r="D161" s="58">
        <v>0.15</v>
      </c>
      <c r="E161" s="58">
        <v>0.15</v>
      </c>
    </row>
    <row r="162" spans="1:5" s="50" customFormat="1" ht="18.75" x14ac:dyDescent="0.25">
      <c r="A162" s="44">
        <f t="shared" si="2"/>
        <v>156</v>
      </c>
      <c r="B162" s="46" t="s">
        <v>207</v>
      </c>
      <c r="C162" s="57">
        <v>133.19999999999999</v>
      </c>
      <c r="D162" s="57">
        <v>134.5</v>
      </c>
      <c r="E162" s="57">
        <v>135.80000000000001</v>
      </c>
    </row>
    <row r="163" spans="1:5" ht="18.75" x14ac:dyDescent="0.25">
      <c r="A163" s="44">
        <f t="shared" si="2"/>
        <v>157</v>
      </c>
      <c r="B163" s="51" t="s">
        <v>208</v>
      </c>
      <c r="C163" s="58">
        <v>0.15</v>
      </c>
      <c r="D163" s="58">
        <v>0.15</v>
      </c>
      <c r="E163" s="58">
        <v>0.15</v>
      </c>
    </row>
    <row r="164" spans="1:5" ht="18.75" x14ac:dyDescent="0.25">
      <c r="A164" s="44">
        <f t="shared" si="2"/>
        <v>158</v>
      </c>
      <c r="B164" s="51" t="s">
        <v>209</v>
      </c>
      <c r="C164" s="58">
        <v>0.15</v>
      </c>
      <c r="D164" s="58">
        <v>0.15</v>
      </c>
      <c r="E164" s="58">
        <v>0.15</v>
      </c>
    </row>
    <row r="165" spans="1:5" ht="18.75" x14ac:dyDescent="0.25">
      <c r="A165" s="44">
        <f t="shared" si="2"/>
        <v>159</v>
      </c>
      <c r="B165" s="51" t="s">
        <v>210</v>
      </c>
      <c r="C165" s="58">
        <v>0.15</v>
      </c>
      <c r="D165" s="58">
        <v>0.15</v>
      </c>
      <c r="E165" s="58">
        <v>0.15</v>
      </c>
    </row>
    <row r="166" spans="1:5" ht="18.75" x14ac:dyDescent="0.25">
      <c r="A166" s="44">
        <f t="shared" si="2"/>
        <v>160</v>
      </c>
      <c r="B166" s="51" t="s">
        <v>211</v>
      </c>
      <c r="C166" s="58">
        <v>0.15</v>
      </c>
      <c r="D166" s="58">
        <v>0.15</v>
      </c>
      <c r="E166" s="58">
        <v>0.15</v>
      </c>
    </row>
    <row r="167" spans="1:5" ht="18.75" x14ac:dyDescent="0.25">
      <c r="A167" s="44">
        <f t="shared" si="2"/>
        <v>161</v>
      </c>
      <c r="B167" s="51" t="s">
        <v>212</v>
      </c>
      <c r="C167" s="58">
        <v>0.15</v>
      </c>
      <c r="D167" s="58">
        <v>0.15</v>
      </c>
      <c r="E167" s="58">
        <v>0.15</v>
      </c>
    </row>
    <row r="168" spans="1:5" ht="18.75" x14ac:dyDescent="0.25">
      <c r="A168" s="44">
        <f t="shared" si="2"/>
        <v>162</v>
      </c>
      <c r="B168" s="51" t="s">
        <v>213</v>
      </c>
      <c r="C168" s="58">
        <v>0.15</v>
      </c>
      <c r="D168" s="58">
        <v>0.15</v>
      </c>
      <c r="E168" s="58">
        <v>0.15</v>
      </c>
    </row>
    <row r="169" spans="1:5" ht="18.75" x14ac:dyDescent="0.25">
      <c r="A169" s="44">
        <f t="shared" si="2"/>
        <v>163</v>
      </c>
      <c r="B169" s="51" t="s">
        <v>214</v>
      </c>
      <c r="C169" s="58">
        <v>0.15</v>
      </c>
      <c r="D169" s="58">
        <v>0.15</v>
      </c>
      <c r="E169" s="58">
        <v>0.15</v>
      </c>
    </row>
    <row r="170" spans="1:5" ht="18.75" x14ac:dyDescent="0.25">
      <c r="A170" s="44">
        <f t="shared" si="2"/>
        <v>164</v>
      </c>
      <c r="B170" s="51" t="s">
        <v>215</v>
      </c>
      <c r="C170" s="58">
        <v>0.15</v>
      </c>
      <c r="D170" s="58">
        <v>0.15</v>
      </c>
      <c r="E170" s="58">
        <v>0.15</v>
      </c>
    </row>
    <row r="171" spans="1:5" ht="18.75" x14ac:dyDescent="0.25">
      <c r="A171" s="44">
        <f t="shared" si="2"/>
        <v>165</v>
      </c>
      <c r="B171" s="51" t="s">
        <v>216</v>
      </c>
      <c r="C171" s="58">
        <v>0.15</v>
      </c>
      <c r="D171" s="58">
        <v>0.15</v>
      </c>
      <c r="E171" s="58">
        <v>0.15</v>
      </c>
    </row>
    <row r="172" spans="1:5" ht="18.75" x14ac:dyDescent="0.25">
      <c r="A172" s="44">
        <f t="shared" si="2"/>
        <v>166</v>
      </c>
      <c r="B172" s="51" t="s">
        <v>217</v>
      </c>
      <c r="C172" s="58">
        <v>0.15</v>
      </c>
      <c r="D172" s="58">
        <v>0.15</v>
      </c>
      <c r="E172" s="58">
        <v>0.15</v>
      </c>
    </row>
    <row r="173" spans="1:5" ht="18.75" x14ac:dyDescent="0.25">
      <c r="A173" s="44">
        <f t="shared" si="2"/>
        <v>167</v>
      </c>
      <c r="B173" s="51" t="s">
        <v>218</v>
      </c>
      <c r="C173" s="58">
        <v>0.15</v>
      </c>
      <c r="D173" s="58">
        <v>0.15</v>
      </c>
      <c r="E173" s="58">
        <v>0.15</v>
      </c>
    </row>
    <row r="174" spans="1:5" s="50" customFormat="1" ht="18.75" x14ac:dyDescent="0.25">
      <c r="A174" s="44">
        <f t="shared" si="2"/>
        <v>168</v>
      </c>
      <c r="B174" s="46" t="s">
        <v>219</v>
      </c>
      <c r="C174" s="57">
        <v>66.599999999999994</v>
      </c>
      <c r="D174" s="57">
        <v>67.2</v>
      </c>
      <c r="E174" s="57">
        <v>67.900000000000006</v>
      </c>
    </row>
    <row r="175" spans="1:5" ht="18.75" x14ac:dyDescent="0.25">
      <c r="A175" s="44">
        <f t="shared" si="2"/>
        <v>169</v>
      </c>
      <c r="B175" s="51" t="s">
        <v>220</v>
      </c>
      <c r="C175" s="58">
        <v>0.15</v>
      </c>
      <c r="D175" s="58">
        <v>0.15</v>
      </c>
      <c r="E175" s="58">
        <v>0.15</v>
      </c>
    </row>
    <row r="176" spans="1:5" ht="18.75" x14ac:dyDescent="0.25">
      <c r="A176" s="44">
        <f t="shared" si="2"/>
        <v>170</v>
      </c>
      <c r="B176" s="51" t="s">
        <v>221</v>
      </c>
      <c r="C176" s="58">
        <v>0.15</v>
      </c>
      <c r="D176" s="58">
        <v>0.15</v>
      </c>
      <c r="E176" s="58">
        <v>0.15</v>
      </c>
    </row>
    <row r="177" spans="1:5" ht="18.75" x14ac:dyDescent="0.25">
      <c r="A177" s="44">
        <f t="shared" si="2"/>
        <v>171</v>
      </c>
      <c r="B177" s="51" t="s">
        <v>222</v>
      </c>
      <c r="C177" s="58">
        <v>0.15</v>
      </c>
      <c r="D177" s="58">
        <v>0.15</v>
      </c>
      <c r="E177" s="58">
        <v>0.15</v>
      </c>
    </row>
    <row r="178" spans="1:5" ht="18.75" x14ac:dyDescent="0.25">
      <c r="A178" s="44">
        <f t="shared" si="2"/>
        <v>172</v>
      </c>
      <c r="B178" s="51" t="s">
        <v>223</v>
      </c>
      <c r="C178" s="58">
        <v>0.15</v>
      </c>
      <c r="D178" s="58">
        <v>0.15</v>
      </c>
      <c r="E178" s="58">
        <v>0.15</v>
      </c>
    </row>
    <row r="179" spans="1:5" ht="18.75" x14ac:dyDescent="0.25">
      <c r="A179" s="44">
        <f t="shared" si="2"/>
        <v>173</v>
      </c>
      <c r="B179" s="51" t="s">
        <v>224</v>
      </c>
      <c r="C179" s="58">
        <v>0.15</v>
      </c>
      <c r="D179" s="58">
        <v>0.15</v>
      </c>
      <c r="E179" s="58">
        <v>0.15</v>
      </c>
    </row>
    <row r="180" spans="1:5" ht="18.75" x14ac:dyDescent="0.25">
      <c r="A180" s="44">
        <f t="shared" si="2"/>
        <v>174</v>
      </c>
      <c r="B180" s="51" t="s">
        <v>225</v>
      </c>
      <c r="C180" s="58">
        <v>0.15</v>
      </c>
      <c r="D180" s="58">
        <v>0.15</v>
      </c>
      <c r="E180" s="58">
        <v>0.15</v>
      </c>
    </row>
    <row r="181" spans="1:5" ht="18.75" x14ac:dyDescent="0.25">
      <c r="A181" s="44">
        <f t="shared" si="2"/>
        <v>175</v>
      </c>
      <c r="B181" s="51" t="s">
        <v>226</v>
      </c>
      <c r="C181" s="58">
        <v>0.15</v>
      </c>
      <c r="D181" s="58">
        <v>0.15</v>
      </c>
      <c r="E181" s="58">
        <v>0.15</v>
      </c>
    </row>
    <row r="182" spans="1:5" s="50" customFormat="1" ht="18.75" x14ac:dyDescent="0.25">
      <c r="A182" s="44">
        <f t="shared" si="2"/>
        <v>176</v>
      </c>
      <c r="B182" s="46" t="s">
        <v>227</v>
      </c>
      <c r="C182" s="57">
        <v>66.599999999999994</v>
      </c>
      <c r="D182" s="57">
        <v>67.2</v>
      </c>
      <c r="E182" s="57">
        <v>67.900000000000006</v>
      </c>
    </row>
    <row r="183" spans="1:5" ht="18.75" x14ac:dyDescent="0.25">
      <c r="A183" s="44">
        <f t="shared" si="2"/>
        <v>177</v>
      </c>
      <c r="B183" s="46" t="s">
        <v>228</v>
      </c>
      <c r="C183" s="58">
        <v>0.15</v>
      </c>
      <c r="D183" s="58">
        <v>0.15</v>
      </c>
      <c r="E183" s="58">
        <v>0.15</v>
      </c>
    </row>
    <row r="184" spans="1:5" ht="18.75" x14ac:dyDescent="0.25">
      <c r="A184" s="44">
        <f t="shared" si="2"/>
        <v>178</v>
      </c>
      <c r="B184" s="51" t="s">
        <v>229</v>
      </c>
      <c r="C184" s="58">
        <v>0.15</v>
      </c>
      <c r="D184" s="58">
        <v>0.15</v>
      </c>
      <c r="E184" s="58">
        <v>0.15</v>
      </c>
    </row>
    <row r="185" spans="1:5" ht="18.75" x14ac:dyDescent="0.25">
      <c r="A185" s="44">
        <f t="shared" si="2"/>
        <v>179</v>
      </c>
      <c r="B185" s="51" t="s">
        <v>230</v>
      </c>
      <c r="C185" s="58">
        <v>0.15</v>
      </c>
      <c r="D185" s="58">
        <v>0.15</v>
      </c>
      <c r="E185" s="58">
        <v>0.15</v>
      </c>
    </row>
    <row r="186" spans="1:5" ht="18.75" x14ac:dyDescent="0.25">
      <c r="A186" s="44">
        <f t="shared" si="2"/>
        <v>180</v>
      </c>
      <c r="B186" s="51" t="s">
        <v>231</v>
      </c>
      <c r="C186" s="58">
        <v>0.15</v>
      </c>
      <c r="D186" s="58">
        <v>0.15</v>
      </c>
      <c r="E186" s="58">
        <v>0.15</v>
      </c>
    </row>
    <row r="187" spans="1:5" ht="18.75" x14ac:dyDescent="0.25">
      <c r="A187" s="44">
        <f t="shared" si="2"/>
        <v>181</v>
      </c>
      <c r="B187" s="51" t="s">
        <v>232</v>
      </c>
      <c r="C187" s="58">
        <v>0.15</v>
      </c>
      <c r="D187" s="58">
        <v>0.15</v>
      </c>
      <c r="E187" s="58">
        <v>0.15</v>
      </c>
    </row>
    <row r="188" spans="1:5" ht="18.75" x14ac:dyDescent="0.25">
      <c r="A188" s="44">
        <f t="shared" si="2"/>
        <v>182</v>
      </c>
      <c r="B188" s="51" t="s">
        <v>233</v>
      </c>
      <c r="C188" s="58">
        <v>0.15</v>
      </c>
      <c r="D188" s="58">
        <v>0.15</v>
      </c>
      <c r="E188" s="58">
        <v>0.15</v>
      </c>
    </row>
    <row r="189" spans="1:5" ht="18.75" x14ac:dyDescent="0.25">
      <c r="A189" s="44">
        <f t="shared" si="2"/>
        <v>183</v>
      </c>
      <c r="B189" s="51" t="s">
        <v>234</v>
      </c>
      <c r="C189" s="58">
        <v>0.15</v>
      </c>
      <c r="D189" s="58">
        <v>0.15</v>
      </c>
      <c r="E189" s="58">
        <v>0.15</v>
      </c>
    </row>
    <row r="190" spans="1:5" ht="18.75" x14ac:dyDescent="0.25">
      <c r="A190" s="44">
        <f t="shared" si="2"/>
        <v>184</v>
      </c>
      <c r="B190" s="51" t="s">
        <v>235</v>
      </c>
      <c r="C190" s="58">
        <v>0.15</v>
      </c>
      <c r="D190" s="58">
        <v>0.15</v>
      </c>
      <c r="E190" s="58">
        <v>0.15</v>
      </c>
    </row>
    <row r="191" spans="1:5" s="50" customFormat="1" ht="18.75" x14ac:dyDescent="0.25">
      <c r="A191" s="44">
        <f t="shared" si="2"/>
        <v>185</v>
      </c>
      <c r="B191" s="46" t="s">
        <v>236</v>
      </c>
      <c r="C191" s="57">
        <v>66.599999999999994</v>
      </c>
      <c r="D191" s="57">
        <v>67.2</v>
      </c>
      <c r="E191" s="57">
        <v>67.900000000000006</v>
      </c>
    </row>
    <row r="192" spans="1:5" ht="18.75" x14ac:dyDescent="0.25">
      <c r="A192" s="44">
        <f t="shared" si="2"/>
        <v>186</v>
      </c>
      <c r="B192" s="51" t="s">
        <v>237</v>
      </c>
      <c r="C192" s="58">
        <v>0.15</v>
      </c>
      <c r="D192" s="58">
        <v>0.15</v>
      </c>
      <c r="E192" s="58">
        <v>0.15</v>
      </c>
    </row>
    <row r="193" spans="1:6" ht="18.75" x14ac:dyDescent="0.25">
      <c r="A193" s="44">
        <f t="shared" si="2"/>
        <v>187</v>
      </c>
      <c r="B193" s="51" t="s">
        <v>238</v>
      </c>
      <c r="C193" s="58">
        <v>0.15</v>
      </c>
      <c r="D193" s="58">
        <v>0.15</v>
      </c>
      <c r="E193" s="58">
        <v>0.15</v>
      </c>
    </row>
    <row r="194" spans="1:6" ht="18.75" x14ac:dyDescent="0.25">
      <c r="A194" s="44">
        <f t="shared" si="2"/>
        <v>188</v>
      </c>
      <c r="B194" s="51" t="s">
        <v>239</v>
      </c>
      <c r="C194" s="58">
        <v>0.15</v>
      </c>
      <c r="D194" s="58">
        <v>0.15</v>
      </c>
      <c r="E194" s="58">
        <v>0.15</v>
      </c>
    </row>
    <row r="195" spans="1:6" ht="18.75" x14ac:dyDescent="0.25">
      <c r="A195" s="44">
        <f t="shared" si="2"/>
        <v>189</v>
      </c>
      <c r="B195" s="51" t="s">
        <v>240</v>
      </c>
      <c r="C195" s="58">
        <v>0.15</v>
      </c>
      <c r="D195" s="58">
        <v>0.15</v>
      </c>
      <c r="E195" s="58">
        <v>0.15</v>
      </c>
    </row>
    <row r="196" spans="1:6" ht="18.75" x14ac:dyDescent="0.25">
      <c r="A196" s="44">
        <f t="shared" si="2"/>
        <v>190</v>
      </c>
      <c r="B196" s="51" t="s">
        <v>241</v>
      </c>
      <c r="C196" s="58">
        <v>0.15</v>
      </c>
      <c r="D196" s="58">
        <v>0.15</v>
      </c>
      <c r="E196" s="58">
        <v>0.15</v>
      </c>
    </row>
    <row r="197" spans="1:6" s="50" customFormat="1" ht="18.75" x14ac:dyDescent="0.25">
      <c r="A197" s="44">
        <f t="shared" si="2"/>
        <v>191</v>
      </c>
      <c r="B197" s="46" t="s">
        <v>242</v>
      </c>
      <c r="C197" s="57">
        <v>133.19999999999999</v>
      </c>
      <c r="D197" s="57">
        <v>134.5</v>
      </c>
      <c r="E197" s="57">
        <v>135.80000000000001</v>
      </c>
    </row>
    <row r="198" spans="1:6" ht="18.75" x14ac:dyDescent="0.25">
      <c r="A198" s="44">
        <f t="shared" si="2"/>
        <v>192</v>
      </c>
      <c r="B198" s="51" t="s">
        <v>243</v>
      </c>
      <c r="C198" s="58">
        <v>0.15</v>
      </c>
      <c r="D198" s="58">
        <v>0.15</v>
      </c>
      <c r="E198" s="58">
        <v>0.15</v>
      </c>
    </row>
    <row r="199" spans="1:6" ht="18.75" x14ac:dyDescent="0.25">
      <c r="A199" s="44">
        <f t="shared" si="2"/>
        <v>193</v>
      </c>
      <c r="B199" s="51" t="s">
        <v>244</v>
      </c>
      <c r="C199" s="58">
        <v>0.15</v>
      </c>
      <c r="D199" s="58">
        <v>0.15</v>
      </c>
      <c r="E199" s="58">
        <v>0.15</v>
      </c>
    </row>
    <row r="200" spans="1:6" ht="18.75" x14ac:dyDescent="0.25">
      <c r="A200" s="44">
        <f t="shared" si="2"/>
        <v>194</v>
      </c>
      <c r="B200" s="51" t="s">
        <v>245</v>
      </c>
      <c r="C200" s="58">
        <v>0.15</v>
      </c>
      <c r="D200" s="58">
        <v>0.15</v>
      </c>
      <c r="E200" s="58">
        <v>0.15</v>
      </c>
      <c r="F200" s="53"/>
    </row>
    <row r="201" spans="1:6" ht="18.75" x14ac:dyDescent="0.25">
      <c r="A201" s="44">
        <f t="shared" si="2"/>
        <v>195</v>
      </c>
      <c r="B201" s="51" t="s">
        <v>246</v>
      </c>
      <c r="C201" s="58">
        <v>0.15</v>
      </c>
      <c r="D201" s="58">
        <v>0.15</v>
      </c>
      <c r="E201" s="58">
        <v>0.15</v>
      </c>
    </row>
    <row r="202" spans="1:6" ht="18.75" x14ac:dyDescent="0.25">
      <c r="A202" s="44">
        <f t="shared" si="2"/>
        <v>196</v>
      </c>
      <c r="B202" s="51" t="s">
        <v>247</v>
      </c>
      <c r="C202" s="58">
        <v>0.15</v>
      </c>
      <c r="D202" s="58">
        <v>0.15</v>
      </c>
      <c r="E202" s="58">
        <v>0.15</v>
      </c>
    </row>
    <row r="203" spans="1:6" ht="18.75" x14ac:dyDescent="0.25">
      <c r="A203" s="44">
        <f t="shared" ref="A203:A239" si="3">A202+1</f>
        <v>197</v>
      </c>
      <c r="B203" s="51" t="s">
        <v>248</v>
      </c>
      <c r="C203" s="58">
        <v>0.15</v>
      </c>
      <c r="D203" s="58">
        <v>0.15</v>
      </c>
      <c r="E203" s="58">
        <v>0.15</v>
      </c>
    </row>
    <row r="204" spans="1:6" ht="18.75" x14ac:dyDescent="0.25">
      <c r="A204" s="44">
        <f t="shared" si="3"/>
        <v>198</v>
      </c>
      <c r="B204" s="51" t="s">
        <v>249</v>
      </c>
      <c r="C204" s="58">
        <v>0.15</v>
      </c>
      <c r="D204" s="58">
        <v>0.15</v>
      </c>
      <c r="E204" s="58">
        <v>0.15</v>
      </c>
    </row>
    <row r="205" spans="1:6" ht="18.75" x14ac:dyDescent="0.25">
      <c r="A205" s="44">
        <f t="shared" si="3"/>
        <v>199</v>
      </c>
      <c r="B205" s="51" t="s">
        <v>250</v>
      </c>
      <c r="C205" s="58">
        <v>0.15</v>
      </c>
      <c r="D205" s="58">
        <v>0.15</v>
      </c>
      <c r="E205" s="58">
        <v>0.15</v>
      </c>
    </row>
    <row r="206" spans="1:6" ht="18.75" x14ac:dyDescent="0.25">
      <c r="A206" s="44">
        <f t="shared" si="3"/>
        <v>200</v>
      </c>
      <c r="B206" s="51" t="s">
        <v>251</v>
      </c>
      <c r="C206" s="58">
        <v>0.15</v>
      </c>
      <c r="D206" s="58">
        <v>0.15</v>
      </c>
      <c r="E206" s="58">
        <v>0.15</v>
      </c>
    </row>
    <row r="207" spans="1:6" s="50" customFormat="1" ht="18.75" x14ac:dyDescent="0.25">
      <c r="A207" s="44">
        <f t="shared" si="3"/>
        <v>201</v>
      </c>
      <c r="B207" s="46" t="s">
        <v>252</v>
      </c>
      <c r="C207" s="57">
        <v>133.19999999999999</v>
      </c>
      <c r="D207" s="57">
        <v>134.5</v>
      </c>
      <c r="E207" s="57">
        <v>135.80000000000001</v>
      </c>
    </row>
    <row r="208" spans="1:6" ht="18.75" x14ac:dyDescent="0.25">
      <c r="A208" s="44">
        <f t="shared" si="3"/>
        <v>202</v>
      </c>
      <c r="B208" s="51" t="s">
        <v>253</v>
      </c>
      <c r="C208" s="58">
        <v>0.15</v>
      </c>
      <c r="D208" s="58">
        <v>0.15</v>
      </c>
      <c r="E208" s="58">
        <v>0.15</v>
      </c>
    </row>
    <row r="209" spans="1:5" ht="18.75" x14ac:dyDescent="0.25">
      <c r="A209" s="44">
        <f t="shared" si="3"/>
        <v>203</v>
      </c>
      <c r="B209" s="51" t="s">
        <v>254</v>
      </c>
      <c r="C209" s="58">
        <v>0.15</v>
      </c>
      <c r="D209" s="58">
        <v>0.15</v>
      </c>
      <c r="E209" s="58">
        <v>0.15</v>
      </c>
    </row>
    <row r="210" spans="1:5" ht="18.75" x14ac:dyDescent="0.25">
      <c r="A210" s="44">
        <f t="shared" si="3"/>
        <v>204</v>
      </c>
      <c r="B210" s="51" t="s">
        <v>255</v>
      </c>
      <c r="C210" s="58">
        <v>0.15</v>
      </c>
      <c r="D210" s="58">
        <v>0.15</v>
      </c>
      <c r="E210" s="58">
        <v>0.15</v>
      </c>
    </row>
    <row r="211" spans="1:5" ht="18.75" x14ac:dyDescent="0.25">
      <c r="A211" s="44">
        <f t="shared" si="3"/>
        <v>205</v>
      </c>
      <c r="B211" s="51" t="s">
        <v>256</v>
      </c>
      <c r="C211" s="58">
        <v>0.15</v>
      </c>
      <c r="D211" s="58">
        <v>0.15</v>
      </c>
      <c r="E211" s="58">
        <v>0.15</v>
      </c>
    </row>
    <row r="212" spans="1:5" ht="18.75" x14ac:dyDescent="0.25">
      <c r="A212" s="44">
        <f t="shared" si="3"/>
        <v>206</v>
      </c>
      <c r="B212" s="51" t="s">
        <v>257</v>
      </c>
      <c r="C212" s="58">
        <v>0.15</v>
      </c>
      <c r="D212" s="58">
        <v>0.15</v>
      </c>
      <c r="E212" s="58">
        <v>0.15</v>
      </c>
    </row>
    <row r="213" spans="1:5" ht="18.75" x14ac:dyDescent="0.25">
      <c r="A213" s="44">
        <f t="shared" si="3"/>
        <v>207</v>
      </c>
      <c r="B213" s="51" t="s">
        <v>258</v>
      </c>
      <c r="C213" s="58">
        <v>0.15</v>
      </c>
      <c r="D213" s="58">
        <v>0.15</v>
      </c>
      <c r="E213" s="58">
        <v>0.15</v>
      </c>
    </row>
    <row r="214" spans="1:5" ht="18.75" x14ac:dyDescent="0.25">
      <c r="A214" s="44">
        <f t="shared" si="3"/>
        <v>208</v>
      </c>
      <c r="B214" s="51" t="s">
        <v>259</v>
      </c>
      <c r="C214" s="58">
        <v>0.15</v>
      </c>
      <c r="D214" s="58">
        <v>0.15</v>
      </c>
      <c r="E214" s="58">
        <v>0.15</v>
      </c>
    </row>
    <row r="215" spans="1:5" ht="18.75" x14ac:dyDescent="0.25">
      <c r="A215" s="44">
        <f t="shared" si="3"/>
        <v>209</v>
      </c>
      <c r="B215" s="51" t="s">
        <v>260</v>
      </c>
      <c r="C215" s="58">
        <v>0.15</v>
      </c>
      <c r="D215" s="58">
        <v>0.15</v>
      </c>
      <c r="E215" s="58">
        <v>0.15</v>
      </c>
    </row>
    <row r="216" spans="1:5" ht="18.75" x14ac:dyDescent="0.25">
      <c r="A216" s="44">
        <f t="shared" si="3"/>
        <v>210</v>
      </c>
      <c r="B216" s="51" t="s">
        <v>261</v>
      </c>
      <c r="C216" s="58">
        <v>0.15</v>
      </c>
      <c r="D216" s="58">
        <v>0.15</v>
      </c>
      <c r="E216" s="58">
        <v>0.15</v>
      </c>
    </row>
    <row r="217" spans="1:5" ht="18.75" x14ac:dyDescent="0.25">
      <c r="A217" s="44">
        <f t="shared" si="3"/>
        <v>211</v>
      </c>
      <c r="B217" s="51" t="s">
        <v>262</v>
      </c>
      <c r="C217" s="58">
        <v>0.15</v>
      </c>
      <c r="D217" s="58">
        <v>0.15</v>
      </c>
      <c r="E217" s="58">
        <v>0.15</v>
      </c>
    </row>
    <row r="218" spans="1:5" ht="18.75" x14ac:dyDescent="0.25">
      <c r="A218" s="44">
        <f t="shared" si="3"/>
        <v>212</v>
      </c>
      <c r="B218" s="51" t="s">
        <v>263</v>
      </c>
      <c r="C218" s="58">
        <v>0.15</v>
      </c>
      <c r="D218" s="58">
        <v>0.15</v>
      </c>
      <c r="E218" s="58">
        <v>0.15</v>
      </c>
    </row>
    <row r="219" spans="1:5" ht="18.75" x14ac:dyDescent="0.25">
      <c r="A219" s="44">
        <f t="shared" si="3"/>
        <v>213</v>
      </c>
      <c r="B219" s="51" t="s">
        <v>264</v>
      </c>
      <c r="C219" s="58">
        <v>0.15</v>
      </c>
      <c r="D219" s="58">
        <v>0.15</v>
      </c>
      <c r="E219" s="58">
        <v>0.15</v>
      </c>
    </row>
    <row r="220" spans="1:5" ht="18.75" x14ac:dyDescent="0.25">
      <c r="A220" s="44">
        <f t="shared" si="3"/>
        <v>214</v>
      </c>
      <c r="B220" s="51" t="s">
        <v>265</v>
      </c>
      <c r="C220" s="58">
        <v>0.15</v>
      </c>
      <c r="D220" s="58">
        <v>0.15</v>
      </c>
      <c r="E220" s="58">
        <v>0.15</v>
      </c>
    </row>
    <row r="221" spans="1:5" ht="18.75" x14ac:dyDescent="0.25">
      <c r="A221" s="44">
        <f t="shared" si="3"/>
        <v>215</v>
      </c>
      <c r="B221" s="51" t="s">
        <v>266</v>
      </c>
      <c r="C221" s="58">
        <v>0.15</v>
      </c>
      <c r="D221" s="58">
        <v>0.15</v>
      </c>
      <c r="E221" s="58">
        <v>0.15</v>
      </c>
    </row>
    <row r="222" spans="1:5" s="50" customFormat="1" ht="18.75" x14ac:dyDescent="0.25">
      <c r="A222" s="44">
        <f t="shared" si="3"/>
        <v>216</v>
      </c>
      <c r="B222" s="46" t="s">
        <v>267</v>
      </c>
      <c r="C222" s="57">
        <v>133.19999999999999</v>
      </c>
      <c r="D222" s="57">
        <v>134.5</v>
      </c>
      <c r="E222" s="57">
        <v>135.80000000000001</v>
      </c>
    </row>
    <row r="223" spans="1:5" ht="18.75" x14ac:dyDescent="0.25">
      <c r="A223" s="44">
        <f t="shared" si="3"/>
        <v>217</v>
      </c>
      <c r="B223" s="51" t="s">
        <v>268</v>
      </c>
      <c r="C223" s="58">
        <v>0.15</v>
      </c>
      <c r="D223" s="58">
        <v>0.15</v>
      </c>
      <c r="E223" s="58">
        <v>0.15</v>
      </c>
    </row>
    <row r="224" spans="1:5" ht="18.75" x14ac:dyDescent="0.25">
      <c r="A224" s="44">
        <f t="shared" si="3"/>
        <v>218</v>
      </c>
      <c r="B224" s="51" t="s">
        <v>269</v>
      </c>
      <c r="C224" s="58">
        <v>0.15</v>
      </c>
      <c r="D224" s="58">
        <v>0.15</v>
      </c>
      <c r="E224" s="58">
        <v>0.15</v>
      </c>
    </row>
    <row r="225" spans="1:6" ht="18.75" x14ac:dyDescent="0.25">
      <c r="A225" s="44">
        <f t="shared" si="3"/>
        <v>219</v>
      </c>
      <c r="B225" s="51" t="s">
        <v>270</v>
      </c>
      <c r="C225" s="58">
        <v>0.15</v>
      </c>
      <c r="D225" s="58">
        <v>0.15</v>
      </c>
      <c r="E225" s="58">
        <v>0.15</v>
      </c>
    </row>
    <row r="226" spans="1:6" ht="18.75" x14ac:dyDescent="0.25">
      <c r="A226" s="44">
        <f t="shared" si="3"/>
        <v>220</v>
      </c>
      <c r="B226" s="51" t="s">
        <v>271</v>
      </c>
      <c r="C226" s="58">
        <v>0.15</v>
      </c>
      <c r="D226" s="58">
        <v>0.15</v>
      </c>
      <c r="E226" s="58">
        <v>0.15</v>
      </c>
    </row>
    <row r="227" spans="1:6" ht="18.75" x14ac:dyDescent="0.25">
      <c r="A227" s="44">
        <f t="shared" si="3"/>
        <v>221</v>
      </c>
      <c r="B227" s="51" t="s">
        <v>272</v>
      </c>
      <c r="C227" s="58">
        <v>0.15</v>
      </c>
      <c r="D227" s="58">
        <v>0.15</v>
      </c>
      <c r="E227" s="58">
        <v>0.15</v>
      </c>
    </row>
    <row r="228" spans="1:6" ht="18.75" x14ac:dyDescent="0.25">
      <c r="A228" s="44">
        <f t="shared" si="3"/>
        <v>222</v>
      </c>
      <c r="B228" s="51" t="s">
        <v>273</v>
      </c>
      <c r="C228" s="58">
        <v>0.15</v>
      </c>
      <c r="D228" s="58">
        <v>0.15</v>
      </c>
      <c r="E228" s="58">
        <v>0.15</v>
      </c>
    </row>
    <row r="229" spans="1:6" ht="18.75" x14ac:dyDescent="0.25">
      <c r="A229" s="44">
        <f t="shared" si="3"/>
        <v>223</v>
      </c>
      <c r="B229" s="51" t="s">
        <v>274</v>
      </c>
      <c r="C229" s="58">
        <v>0.15</v>
      </c>
      <c r="D229" s="58">
        <v>0.15</v>
      </c>
      <c r="E229" s="58">
        <v>0.15</v>
      </c>
    </row>
    <row r="230" spans="1:6" ht="18.75" x14ac:dyDescent="0.25">
      <c r="A230" s="44">
        <f t="shared" si="3"/>
        <v>224</v>
      </c>
      <c r="B230" s="52" t="s">
        <v>275</v>
      </c>
      <c r="C230" s="58">
        <v>0.15</v>
      </c>
      <c r="D230" s="58">
        <v>0.15</v>
      </c>
      <c r="E230" s="58">
        <v>0.15</v>
      </c>
    </row>
    <row r="231" spans="1:6" ht="18.75" x14ac:dyDescent="0.25">
      <c r="A231" s="44">
        <f t="shared" si="3"/>
        <v>225</v>
      </c>
      <c r="B231" s="51" t="s">
        <v>276</v>
      </c>
      <c r="C231" s="58">
        <v>0.15</v>
      </c>
      <c r="D231" s="58">
        <v>0.15</v>
      </c>
      <c r="E231" s="58">
        <v>0.15</v>
      </c>
    </row>
    <row r="232" spans="1:6" s="50" customFormat="1" ht="18.75" x14ac:dyDescent="0.25">
      <c r="A232" s="44">
        <f t="shared" si="3"/>
        <v>226</v>
      </c>
      <c r="B232" s="46" t="s">
        <v>277</v>
      </c>
      <c r="C232" s="57">
        <v>66.599999999999994</v>
      </c>
      <c r="D232" s="57">
        <v>67.2</v>
      </c>
      <c r="E232" s="57">
        <v>67.900000000000006</v>
      </c>
    </row>
    <row r="233" spans="1:6" ht="18.75" x14ac:dyDescent="0.25">
      <c r="A233" s="44">
        <f t="shared" si="3"/>
        <v>227</v>
      </c>
      <c r="B233" s="51" t="s">
        <v>278</v>
      </c>
      <c r="C233" s="58">
        <v>0.15</v>
      </c>
      <c r="D233" s="58">
        <v>0.15</v>
      </c>
      <c r="E233" s="58">
        <v>0.15</v>
      </c>
    </row>
    <row r="234" spans="1:6" ht="18.75" x14ac:dyDescent="0.25">
      <c r="A234" s="44">
        <f t="shared" si="3"/>
        <v>228</v>
      </c>
      <c r="B234" s="51" t="s">
        <v>279</v>
      </c>
      <c r="C234" s="58">
        <v>0.15</v>
      </c>
      <c r="D234" s="58">
        <v>0.15</v>
      </c>
      <c r="E234" s="58">
        <v>0.15</v>
      </c>
    </row>
    <row r="235" spans="1:6" ht="18.75" x14ac:dyDescent="0.25">
      <c r="A235" s="44">
        <f t="shared" si="3"/>
        <v>229</v>
      </c>
      <c r="B235" s="51" t="s">
        <v>280</v>
      </c>
      <c r="C235" s="58">
        <v>0.15</v>
      </c>
      <c r="D235" s="58">
        <v>0.15</v>
      </c>
      <c r="E235" s="58">
        <v>0.15</v>
      </c>
    </row>
    <row r="236" spans="1:6" ht="18.75" x14ac:dyDescent="0.25">
      <c r="A236" s="44">
        <f t="shared" si="3"/>
        <v>230</v>
      </c>
      <c r="B236" s="51" t="s">
        <v>281</v>
      </c>
      <c r="C236" s="58">
        <v>0.15</v>
      </c>
      <c r="D236" s="58">
        <v>0.15</v>
      </c>
      <c r="E236" s="58">
        <v>0.15</v>
      </c>
      <c r="F236" s="48"/>
    </row>
    <row r="237" spans="1:6" ht="18.75" x14ac:dyDescent="0.25">
      <c r="A237" s="44">
        <f t="shared" si="3"/>
        <v>231</v>
      </c>
      <c r="B237" s="51" t="s">
        <v>282</v>
      </c>
      <c r="C237" s="58">
        <v>0.15</v>
      </c>
      <c r="D237" s="58">
        <v>0.15</v>
      </c>
      <c r="E237" s="58">
        <v>0.15</v>
      </c>
    </row>
    <row r="238" spans="1:6" ht="18.75" x14ac:dyDescent="0.25">
      <c r="A238" s="44">
        <f t="shared" si="3"/>
        <v>232</v>
      </c>
      <c r="B238" s="52" t="s">
        <v>47</v>
      </c>
      <c r="C238" s="56">
        <v>66.599999999999994</v>
      </c>
      <c r="D238" s="56">
        <v>67.2</v>
      </c>
      <c r="E238" s="56">
        <v>67.900000000000006</v>
      </c>
    </row>
    <row r="239" spans="1:6" ht="18.75" x14ac:dyDescent="0.25">
      <c r="A239" s="44">
        <f t="shared" si="3"/>
        <v>233</v>
      </c>
      <c r="B239" s="52" t="s">
        <v>48</v>
      </c>
      <c r="C239" s="56">
        <v>66.599999999999994</v>
      </c>
      <c r="D239" s="56">
        <v>67.2</v>
      </c>
      <c r="E239" s="56">
        <v>67.900000000000006</v>
      </c>
    </row>
    <row r="240" spans="1:6" ht="18.75" x14ac:dyDescent="0.25">
      <c r="A240" s="54" t="s">
        <v>58</v>
      </c>
      <c r="B240" s="55" t="s">
        <v>49</v>
      </c>
      <c r="C240" s="59">
        <f>SUM(C7:C239)</f>
        <v>6100.1999999999598</v>
      </c>
      <c r="D240" s="59">
        <f>SUM(D7:D239)</f>
        <v>6157.3999999999478</v>
      </c>
      <c r="E240" s="59">
        <f>SUM(E7:E239)</f>
        <v>6216.7999999999483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7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Q46"/>
  <sheetViews>
    <sheetView view="pageBreakPreview" zoomScaleNormal="100" zoomScaleSheetLayoutView="100" workbookViewId="0">
      <selection activeCell="N9" sqref="N9"/>
    </sheetView>
  </sheetViews>
  <sheetFormatPr defaultRowHeight="18" x14ac:dyDescent="0.25"/>
  <cols>
    <col min="1" max="1" width="9" style="61" customWidth="1"/>
    <col min="2" max="2" width="53.28515625" style="61" customWidth="1"/>
    <col min="3" max="5" width="13.7109375" style="61" customWidth="1"/>
    <col min="6" max="256" width="9.140625" style="61"/>
    <col min="257" max="257" width="9" style="61" customWidth="1"/>
    <col min="258" max="258" width="45" style="61" customWidth="1"/>
    <col min="259" max="261" width="13.7109375" style="61" customWidth="1"/>
    <col min="262" max="512" width="9.140625" style="61"/>
    <col min="513" max="513" width="9" style="61" customWidth="1"/>
    <col min="514" max="514" width="45" style="61" customWidth="1"/>
    <col min="515" max="517" width="13.7109375" style="61" customWidth="1"/>
    <col min="518" max="768" width="9.140625" style="61"/>
    <col min="769" max="769" width="9" style="61" customWidth="1"/>
    <col min="770" max="770" width="45" style="61" customWidth="1"/>
    <col min="771" max="773" width="13.7109375" style="61" customWidth="1"/>
    <col min="774" max="1024" width="9.140625" style="61"/>
    <col min="1025" max="1025" width="9" style="61" customWidth="1"/>
    <col min="1026" max="1026" width="45" style="61" customWidth="1"/>
    <col min="1027" max="1029" width="13.7109375" style="61" customWidth="1"/>
    <col min="1030" max="1280" width="9.140625" style="61"/>
    <col min="1281" max="1281" width="9" style="61" customWidth="1"/>
    <col min="1282" max="1282" width="45" style="61" customWidth="1"/>
    <col min="1283" max="1285" width="13.7109375" style="61" customWidth="1"/>
    <col min="1286" max="1536" width="9.140625" style="61"/>
    <col min="1537" max="1537" width="9" style="61" customWidth="1"/>
    <col min="1538" max="1538" width="45" style="61" customWidth="1"/>
    <col min="1539" max="1541" width="13.7109375" style="61" customWidth="1"/>
    <col min="1542" max="1792" width="9.140625" style="61"/>
    <col min="1793" max="1793" width="9" style="61" customWidth="1"/>
    <col min="1794" max="1794" width="45" style="61" customWidth="1"/>
    <col min="1795" max="1797" width="13.7109375" style="61" customWidth="1"/>
    <col min="1798" max="2048" width="9.140625" style="61"/>
    <col min="2049" max="2049" width="9" style="61" customWidth="1"/>
    <col min="2050" max="2050" width="45" style="61" customWidth="1"/>
    <col min="2051" max="2053" width="13.7109375" style="61" customWidth="1"/>
    <col min="2054" max="2304" width="9.140625" style="61"/>
    <col min="2305" max="2305" width="9" style="61" customWidth="1"/>
    <col min="2306" max="2306" width="45" style="61" customWidth="1"/>
    <col min="2307" max="2309" width="13.7109375" style="61" customWidth="1"/>
    <col min="2310" max="2560" width="9.140625" style="61"/>
    <col min="2561" max="2561" width="9" style="61" customWidth="1"/>
    <col min="2562" max="2562" width="45" style="61" customWidth="1"/>
    <col min="2563" max="2565" width="13.7109375" style="61" customWidth="1"/>
    <col min="2566" max="2816" width="9.140625" style="61"/>
    <col min="2817" max="2817" width="9" style="61" customWidth="1"/>
    <col min="2818" max="2818" width="45" style="61" customWidth="1"/>
    <col min="2819" max="2821" width="13.7109375" style="61" customWidth="1"/>
    <col min="2822" max="3072" width="9.140625" style="61"/>
    <col min="3073" max="3073" width="9" style="61" customWidth="1"/>
    <col min="3074" max="3074" width="45" style="61" customWidth="1"/>
    <col min="3075" max="3077" width="13.7109375" style="61" customWidth="1"/>
    <col min="3078" max="3328" width="9.140625" style="61"/>
    <col min="3329" max="3329" width="9" style="61" customWidth="1"/>
    <col min="3330" max="3330" width="45" style="61" customWidth="1"/>
    <col min="3331" max="3333" width="13.7109375" style="61" customWidth="1"/>
    <col min="3334" max="3584" width="9.140625" style="61"/>
    <col min="3585" max="3585" width="9" style="61" customWidth="1"/>
    <col min="3586" max="3586" width="45" style="61" customWidth="1"/>
    <col min="3587" max="3589" width="13.7109375" style="61" customWidth="1"/>
    <col min="3590" max="3840" width="9.140625" style="61"/>
    <col min="3841" max="3841" width="9" style="61" customWidth="1"/>
    <col min="3842" max="3842" width="45" style="61" customWidth="1"/>
    <col min="3843" max="3845" width="13.7109375" style="61" customWidth="1"/>
    <col min="3846" max="4096" width="9.140625" style="61"/>
    <col min="4097" max="4097" width="9" style="61" customWidth="1"/>
    <col min="4098" max="4098" width="45" style="61" customWidth="1"/>
    <col min="4099" max="4101" width="13.7109375" style="61" customWidth="1"/>
    <col min="4102" max="4352" width="9.140625" style="61"/>
    <col min="4353" max="4353" width="9" style="61" customWidth="1"/>
    <col min="4354" max="4354" width="45" style="61" customWidth="1"/>
    <col min="4355" max="4357" width="13.7109375" style="61" customWidth="1"/>
    <col min="4358" max="4608" width="9.140625" style="61"/>
    <col min="4609" max="4609" width="9" style="61" customWidth="1"/>
    <col min="4610" max="4610" width="45" style="61" customWidth="1"/>
    <col min="4611" max="4613" width="13.7109375" style="61" customWidth="1"/>
    <col min="4614" max="4864" width="9.140625" style="61"/>
    <col min="4865" max="4865" width="9" style="61" customWidth="1"/>
    <col min="4866" max="4866" width="45" style="61" customWidth="1"/>
    <col min="4867" max="4869" width="13.7109375" style="61" customWidth="1"/>
    <col min="4870" max="5120" width="9.140625" style="61"/>
    <col min="5121" max="5121" width="9" style="61" customWidth="1"/>
    <col min="5122" max="5122" width="45" style="61" customWidth="1"/>
    <col min="5123" max="5125" width="13.7109375" style="61" customWidth="1"/>
    <col min="5126" max="5376" width="9.140625" style="61"/>
    <col min="5377" max="5377" width="9" style="61" customWidth="1"/>
    <col min="5378" max="5378" width="45" style="61" customWidth="1"/>
    <col min="5379" max="5381" width="13.7109375" style="61" customWidth="1"/>
    <col min="5382" max="5632" width="9.140625" style="61"/>
    <col min="5633" max="5633" width="9" style="61" customWidth="1"/>
    <col min="5634" max="5634" width="45" style="61" customWidth="1"/>
    <col min="5635" max="5637" width="13.7109375" style="61" customWidth="1"/>
    <col min="5638" max="5888" width="9.140625" style="61"/>
    <col min="5889" max="5889" width="9" style="61" customWidth="1"/>
    <col min="5890" max="5890" width="45" style="61" customWidth="1"/>
    <col min="5891" max="5893" width="13.7109375" style="61" customWidth="1"/>
    <col min="5894" max="6144" width="9.140625" style="61"/>
    <col min="6145" max="6145" width="9" style="61" customWidth="1"/>
    <col min="6146" max="6146" width="45" style="61" customWidth="1"/>
    <col min="6147" max="6149" width="13.7109375" style="61" customWidth="1"/>
    <col min="6150" max="6400" width="9.140625" style="61"/>
    <col min="6401" max="6401" width="9" style="61" customWidth="1"/>
    <col min="6402" max="6402" width="45" style="61" customWidth="1"/>
    <col min="6403" max="6405" width="13.7109375" style="61" customWidth="1"/>
    <col min="6406" max="6656" width="9.140625" style="61"/>
    <col min="6657" max="6657" width="9" style="61" customWidth="1"/>
    <col min="6658" max="6658" width="45" style="61" customWidth="1"/>
    <col min="6659" max="6661" width="13.7109375" style="61" customWidth="1"/>
    <col min="6662" max="6912" width="9.140625" style="61"/>
    <col min="6913" max="6913" width="9" style="61" customWidth="1"/>
    <col min="6914" max="6914" width="45" style="61" customWidth="1"/>
    <col min="6915" max="6917" width="13.7109375" style="61" customWidth="1"/>
    <col min="6918" max="7168" width="9.140625" style="61"/>
    <col min="7169" max="7169" width="9" style="61" customWidth="1"/>
    <col min="7170" max="7170" width="45" style="61" customWidth="1"/>
    <col min="7171" max="7173" width="13.7109375" style="61" customWidth="1"/>
    <col min="7174" max="7424" width="9.140625" style="61"/>
    <col min="7425" max="7425" width="9" style="61" customWidth="1"/>
    <col min="7426" max="7426" width="45" style="61" customWidth="1"/>
    <col min="7427" max="7429" width="13.7109375" style="61" customWidth="1"/>
    <col min="7430" max="7680" width="9.140625" style="61"/>
    <col min="7681" max="7681" width="9" style="61" customWidth="1"/>
    <col min="7682" max="7682" width="45" style="61" customWidth="1"/>
    <col min="7683" max="7685" width="13.7109375" style="61" customWidth="1"/>
    <col min="7686" max="7936" width="9.140625" style="61"/>
    <col min="7937" max="7937" width="9" style="61" customWidth="1"/>
    <col min="7938" max="7938" width="45" style="61" customWidth="1"/>
    <col min="7939" max="7941" width="13.7109375" style="61" customWidth="1"/>
    <col min="7942" max="8192" width="9.140625" style="61"/>
    <col min="8193" max="8193" width="9" style="61" customWidth="1"/>
    <col min="8194" max="8194" width="45" style="61" customWidth="1"/>
    <col min="8195" max="8197" width="13.7109375" style="61" customWidth="1"/>
    <col min="8198" max="8448" width="9.140625" style="61"/>
    <col min="8449" max="8449" width="9" style="61" customWidth="1"/>
    <col min="8450" max="8450" width="45" style="61" customWidth="1"/>
    <col min="8451" max="8453" width="13.7109375" style="61" customWidth="1"/>
    <col min="8454" max="8704" width="9.140625" style="61"/>
    <col min="8705" max="8705" width="9" style="61" customWidth="1"/>
    <col min="8706" max="8706" width="45" style="61" customWidth="1"/>
    <col min="8707" max="8709" width="13.7109375" style="61" customWidth="1"/>
    <col min="8710" max="8960" width="9.140625" style="61"/>
    <col min="8961" max="8961" width="9" style="61" customWidth="1"/>
    <col min="8962" max="8962" width="45" style="61" customWidth="1"/>
    <col min="8963" max="8965" width="13.7109375" style="61" customWidth="1"/>
    <col min="8966" max="9216" width="9.140625" style="61"/>
    <col min="9217" max="9217" width="9" style="61" customWidth="1"/>
    <col min="9218" max="9218" width="45" style="61" customWidth="1"/>
    <col min="9219" max="9221" width="13.7109375" style="61" customWidth="1"/>
    <col min="9222" max="9472" width="9.140625" style="61"/>
    <col min="9473" max="9473" width="9" style="61" customWidth="1"/>
    <col min="9474" max="9474" width="45" style="61" customWidth="1"/>
    <col min="9475" max="9477" width="13.7109375" style="61" customWidth="1"/>
    <col min="9478" max="9728" width="9.140625" style="61"/>
    <col min="9729" max="9729" width="9" style="61" customWidth="1"/>
    <col min="9730" max="9730" width="45" style="61" customWidth="1"/>
    <col min="9731" max="9733" width="13.7109375" style="61" customWidth="1"/>
    <col min="9734" max="9984" width="9.140625" style="61"/>
    <col min="9985" max="9985" width="9" style="61" customWidth="1"/>
    <col min="9986" max="9986" width="45" style="61" customWidth="1"/>
    <col min="9987" max="9989" width="13.7109375" style="61" customWidth="1"/>
    <col min="9990" max="10240" width="9.140625" style="61"/>
    <col min="10241" max="10241" width="9" style="61" customWidth="1"/>
    <col min="10242" max="10242" width="45" style="61" customWidth="1"/>
    <col min="10243" max="10245" width="13.7109375" style="61" customWidth="1"/>
    <col min="10246" max="10496" width="9.140625" style="61"/>
    <col min="10497" max="10497" width="9" style="61" customWidth="1"/>
    <col min="10498" max="10498" width="45" style="61" customWidth="1"/>
    <col min="10499" max="10501" width="13.7109375" style="61" customWidth="1"/>
    <col min="10502" max="10752" width="9.140625" style="61"/>
    <col min="10753" max="10753" width="9" style="61" customWidth="1"/>
    <col min="10754" max="10754" width="45" style="61" customWidth="1"/>
    <col min="10755" max="10757" width="13.7109375" style="61" customWidth="1"/>
    <col min="10758" max="11008" width="9.140625" style="61"/>
    <col min="11009" max="11009" width="9" style="61" customWidth="1"/>
    <col min="11010" max="11010" width="45" style="61" customWidth="1"/>
    <col min="11011" max="11013" width="13.7109375" style="61" customWidth="1"/>
    <col min="11014" max="11264" width="9.140625" style="61"/>
    <col min="11265" max="11265" width="9" style="61" customWidth="1"/>
    <col min="11266" max="11266" width="45" style="61" customWidth="1"/>
    <col min="11267" max="11269" width="13.7109375" style="61" customWidth="1"/>
    <col min="11270" max="11520" width="9.140625" style="61"/>
    <col min="11521" max="11521" width="9" style="61" customWidth="1"/>
    <col min="11522" max="11522" width="45" style="61" customWidth="1"/>
    <col min="11523" max="11525" width="13.7109375" style="61" customWidth="1"/>
    <col min="11526" max="11776" width="9.140625" style="61"/>
    <col min="11777" max="11777" width="9" style="61" customWidth="1"/>
    <col min="11778" max="11778" width="45" style="61" customWidth="1"/>
    <col min="11779" max="11781" width="13.7109375" style="61" customWidth="1"/>
    <col min="11782" max="12032" width="9.140625" style="61"/>
    <col min="12033" max="12033" width="9" style="61" customWidth="1"/>
    <col min="12034" max="12034" width="45" style="61" customWidth="1"/>
    <col min="12035" max="12037" width="13.7109375" style="61" customWidth="1"/>
    <col min="12038" max="12288" width="9.140625" style="61"/>
    <col min="12289" max="12289" width="9" style="61" customWidth="1"/>
    <col min="12290" max="12290" width="45" style="61" customWidth="1"/>
    <col min="12291" max="12293" width="13.7109375" style="61" customWidth="1"/>
    <col min="12294" max="12544" width="9.140625" style="61"/>
    <col min="12545" max="12545" width="9" style="61" customWidth="1"/>
    <col min="12546" max="12546" width="45" style="61" customWidth="1"/>
    <col min="12547" max="12549" width="13.7109375" style="61" customWidth="1"/>
    <col min="12550" max="12800" width="9.140625" style="61"/>
    <col min="12801" max="12801" width="9" style="61" customWidth="1"/>
    <col min="12802" max="12802" width="45" style="61" customWidth="1"/>
    <col min="12803" max="12805" width="13.7109375" style="61" customWidth="1"/>
    <col min="12806" max="13056" width="9.140625" style="61"/>
    <col min="13057" max="13057" width="9" style="61" customWidth="1"/>
    <col min="13058" max="13058" width="45" style="61" customWidth="1"/>
    <col min="13059" max="13061" width="13.7109375" style="61" customWidth="1"/>
    <col min="13062" max="13312" width="9.140625" style="61"/>
    <col min="13313" max="13313" width="9" style="61" customWidth="1"/>
    <col min="13314" max="13314" width="45" style="61" customWidth="1"/>
    <col min="13315" max="13317" width="13.7109375" style="61" customWidth="1"/>
    <col min="13318" max="13568" width="9.140625" style="61"/>
    <col min="13569" max="13569" width="9" style="61" customWidth="1"/>
    <col min="13570" max="13570" width="45" style="61" customWidth="1"/>
    <col min="13571" max="13573" width="13.7109375" style="61" customWidth="1"/>
    <col min="13574" max="13824" width="9.140625" style="61"/>
    <col min="13825" max="13825" width="9" style="61" customWidth="1"/>
    <col min="13826" max="13826" width="45" style="61" customWidth="1"/>
    <col min="13827" max="13829" width="13.7109375" style="61" customWidth="1"/>
    <col min="13830" max="14080" width="9.140625" style="61"/>
    <col min="14081" max="14081" width="9" style="61" customWidth="1"/>
    <col min="14082" max="14082" width="45" style="61" customWidth="1"/>
    <col min="14083" max="14085" width="13.7109375" style="61" customWidth="1"/>
    <col min="14086" max="14336" width="9.140625" style="61"/>
    <col min="14337" max="14337" width="9" style="61" customWidth="1"/>
    <col min="14338" max="14338" width="45" style="61" customWidth="1"/>
    <col min="14339" max="14341" width="13.7109375" style="61" customWidth="1"/>
    <col min="14342" max="14592" width="9.140625" style="61"/>
    <col min="14593" max="14593" width="9" style="61" customWidth="1"/>
    <col min="14594" max="14594" width="45" style="61" customWidth="1"/>
    <col min="14595" max="14597" width="13.7109375" style="61" customWidth="1"/>
    <col min="14598" max="14848" width="9.140625" style="61"/>
    <col min="14849" max="14849" width="9" style="61" customWidth="1"/>
    <col min="14850" max="14850" width="45" style="61" customWidth="1"/>
    <col min="14851" max="14853" width="13.7109375" style="61" customWidth="1"/>
    <col min="14854" max="15104" width="9.140625" style="61"/>
    <col min="15105" max="15105" width="9" style="61" customWidth="1"/>
    <col min="15106" max="15106" width="45" style="61" customWidth="1"/>
    <col min="15107" max="15109" width="13.7109375" style="61" customWidth="1"/>
    <col min="15110" max="15360" width="9.140625" style="61"/>
    <col min="15361" max="15361" width="9" style="61" customWidth="1"/>
    <col min="15362" max="15362" width="45" style="61" customWidth="1"/>
    <col min="15363" max="15365" width="13.7109375" style="61" customWidth="1"/>
    <col min="15366" max="15616" width="9.140625" style="61"/>
    <col min="15617" max="15617" width="9" style="61" customWidth="1"/>
    <col min="15618" max="15618" width="45" style="61" customWidth="1"/>
    <col min="15619" max="15621" width="13.7109375" style="61" customWidth="1"/>
    <col min="15622" max="15872" width="9.140625" style="61"/>
    <col min="15873" max="15873" width="9" style="61" customWidth="1"/>
    <col min="15874" max="15874" width="45" style="61" customWidth="1"/>
    <col min="15875" max="15877" width="13.7109375" style="61" customWidth="1"/>
    <col min="15878" max="16128" width="9.140625" style="61"/>
    <col min="16129" max="16129" width="9" style="61" customWidth="1"/>
    <col min="16130" max="16130" width="45" style="61" customWidth="1"/>
    <col min="16131" max="16133" width="13.7109375" style="61" customWidth="1"/>
    <col min="16134" max="16384" width="9.140625" style="61"/>
  </cols>
  <sheetData>
    <row r="1" spans="1:5" s="60" customFormat="1" ht="18.75" x14ac:dyDescent="0.25">
      <c r="A1" s="441" t="s">
        <v>338</v>
      </c>
      <c r="B1" s="441"/>
      <c r="C1" s="441"/>
      <c r="D1" s="441"/>
      <c r="E1" s="441"/>
    </row>
    <row r="2" spans="1:5" ht="94.5" customHeight="1" x14ac:dyDescent="0.25">
      <c r="A2" s="442" t="s">
        <v>401</v>
      </c>
      <c r="B2" s="442"/>
      <c r="C2" s="442"/>
      <c r="D2" s="442"/>
      <c r="E2" s="442"/>
    </row>
    <row r="3" spans="1:5" ht="18.75" x14ac:dyDescent="0.25">
      <c r="A3" s="596" t="s">
        <v>333</v>
      </c>
      <c r="B3" s="597" t="s">
        <v>52</v>
      </c>
      <c r="C3" s="598" t="s">
        <v>71</v>
      </c>
      <c r="D3" s="598"/>
      <c r="E3" s="598"/>
    </row>
    <row r="4" spans="1:5" s="60" customFormat="1" ht="18" customHeight="1" x14ac:dyDescent="0.25">
      <c r="A4" s="596"/>
      <c r="B4" s="597"/>
      <c r="C4" s="597" t="s">
        <v>3</v>
      </c>
      <c r="D4" s="597" t="s">
        <v>4</v>
      </c>
      <c r="E4" s="597"/>
    </row>
    <row r="5" spans="1:5" s="60" customFormat="1" ht="12.75" customHeight="1" x14ac:dyDescent="0.25">
      <c r="A5" s="596"/>
      <c r="B5" s="597"/>
      <c r="C5" s="597"/>
      <c r="D5" s="597" t="s">
        <v>5</v>
      </c>
      <c r="E5" s="597" t="s">
        <v>6</v>
      </c>
    </row>
    <row r="6" spans="1:5" s="62" customFormat="1" ht="15.6" customHeight="1" x14ac:dyDescent="0.25">
      <c r="A6" s="596"/>
      <c r="B6" s="597"/>
      <c r="C6" s="597"/>
      <c r="D6" s="597"/>
      <c r="E6" s="597"/>
    </row>
    <row r="7" spans="1:5" s="63" customFormat="1" ht="15.75" customHeight="1" x14ac:dyDescent="0.25">
      <c r="A7" s="108">
        <v>1</v>
      </c>
      <c r="B7" s="109">
        <v>2</v>
      </c>
      <c r="C7" s="109">
        <v>3</v>
      </c>
      <c r="D7" s="108">
        <v>4</v>
      </c>
      <c r="E7" s="108">
        <v>5</v>
      </c>
    </row>
    <row r="8" spans="1:5" ht="18.75" x14ac:dyDescent="0.25">
      <c r="A8" s="64">
        <v>1</v>
      </c>
      <c r="B8" s="65" t="s">
        <v>7</v>
      </c>
      <c r="C8" s="66">
        <v>28.5</v>
      </c>
      <c r="D8" s="66">
        <v>172.4</v>
      </c>
      <c r="E8" s="66">
        <v>13.8</v>
      </c>
    </row>
    <row r="9" spans="1:5" ht="18.75" x14ac:dyDescent="0.25">
      <c r="A9" s="64">
        <v>2</v>
      </c>
      <c r="B9" s="65" t="s">
        <v>8</v>
      </c>
      <c r="C9" s="66">
        <v>32.200000000000003</v>
      </c>
      <c r="D9" s="66">
        <v>195.6</v>
      </c>
      <c r="E9" s="66">
        <v>15.6</v>
      </c>
    </row>
    <row r="10" spans="1:5" ht="18.75" x14ac:dyDescent="0.25">
      <c r="A10" s="64">
        <v>3</v>
      </c>
      <c r="B10" s="65" t="s">
        <v>9</v>
      </c>
      <c r="C10" s="66">
        <v>257.60000000000002</v>
      </c>
      <c r="D10" s="66">
        <v>1553.7</v>
      </c>
      <c r="E10" s="66">
        <v>119.8</v>
      </c>
    </row>
    <row r="11" spans="1:5" ht="18.75" x14ac:dyDescent="0.25">
      <c r="A11" s="64">
        <v>4</v>
      </c>
      <c r="B11" s="65" t="s">
        <v>10</v>
      </c>
      <c r="C11" s="66">
        <v>32.200000000000003</v>
      </c>
      <c r="D11" s="66">
        <v>195.6</v>
      </c>
      <c r="E11" s="66">
        <v>15.6</v>
      </c>
    </row>
    <row r="12" spans="1:5" ht="18.75" x14ac:dyDescent="0.25">
      <c r="A12" s="64">
        <v>5</v>
      </c>
      <c r="B12" s="65" t="s">
        <v>11</v>
      </c>
      <c r="C12" s="66">
        <v>32.200000000000003</v>
      </c>
      <c r="D12" s="66">
        <v>195.6</v>
      </c>
      <c r="E12" s="66">
        <v>15.6</v>
      </c>
    </row>
    <row r="13" spans="1:5" ht="18.75" x14ac:dyDescent="0.25">
      <c r="A13" s="64">
        <v>6</v>
      </c>
      <c r="B13" s="65" t="s">
        <v>334</v>
      </c>
      <c r="C13" s="66">
        <v>23.2</v>
      </c>
      <c r="D13" s="66">
        <v>140.19999999999999</v>
      </c>
      <c r="E13" s="66">
        <v>11.2</v>
      </c>
    </row>
    <row r="14" spans="1:5" ht="18.75" x14ac:dyDescent="0.25">
      <c r="A14" s="64">
        <v>7</v>
      </c>
      <c r="B14" s="65" t="s">
        <v>13</v>
      </c>
      <c r="C14" s="66">
        <v>15.6</v>
      </c>
      <c r="D14" s="66">
        <v>94.3</v>
      </c>
      <c r="E14" s="66">
        <v>7.5</v>
      </c>
    </row>
    <row r="15" spans="1:5" ht="18.75" x14ac:dyDescent="0.25">
      <c r="A15" s="64">
        <v>8</v>
      </c>
      <c r="B15" s="67" t="s">
        <v>14</v>
      </c>
      <c r="C15" s="66">
        <v>23.7</v>
      </c>
      <c r="D15" s="66">
        <v>144.6</v>
      </c>
      <c r="E15" s="66">
        <v>11.6</v>
      </c>
    </row>
    <row r="16" spans="1:5" ht="18.75" x14ac:dyDescent="0.25">
      <c r="A16" s="64">
        <v>9</v>
      </c>
      <c r="B16" s="67" t="s">
        <v>15</v>
      </c>
      <c r="C16" s="66">
        <v>15.6</v>
      </c>
      <c r="D16" s="66">
        <v>94.3</v>
      </c>
      <c r="E16" s="66">
        <v>7.5</v>
      </c>
    </row>
    <row r="17" spans="1:17" ht="18.75" x14ac:dyDescent="0.25">
      <c r="A17" s="64">
        <v>10</v>
      </c>
      <c r="B17" s="65" t="s">
        <v>335</v>
      </c>
      <c r="C17" s="66">
        <v>9.3000000000000007</v>
      </c>
      <c r="D17" s="66">
        <v>55.9</v>
      </c>
      <c r="E17" s="66">
        <v>4.5</v>
      </c>
    </row>
    <row r="18" spans="1:17" ht="18.75" x14ac:dyDescent="0.25">
      <c r="A18" s="64">
        <v>11</v>
      </c>
      <c r="B18" s="65" t="s">
        <v>17</v>
      </c>
      <c r="C18" s="66">
        <v>9.3000000000000007</v>
      </c>
      <c r="D18" s="66">
        <v>55.9</v>
      </c>
      <c r="E18" s="66">
        <v>4.5</v>
      </c>
    </row>
    <row r="19" spans="1:17" ht="18.75" x14ac:dyDescent="0.25">
      <c r="A19" s="64">
        <v>12</v>
      </c>
      <c r="B19" s="65" t="s">
        <v>18</v>
      </c>
      <c r="C19" s="66">
        <v>9.3000000000000007</v>
      </c>
      <c r="D19" s="66">
        <v>55.9</v>
      </c>
      <c r="E19" s="66">
        <v>4.5</v>
      </c>
      <c r="Q19" s="212"/>
    </row>
    <row r="20" spans="1:17" ht="18.75" x14ac:dyDescent="0.25">
      <c r="A20" s="64">
        <v>13</v>
      </c>
      <c r="B20" s="65" t="s">
        <v>19</v>
      </c>
      <c r="C20" s="66">
        <v>9.3000000000000007</v>
      </c>
      <c r="D20" s="66">
        <v>55.9</v>
      </c>
      <c r="E20" s="66">
        <v>4.5</v>
      </c>
    </row>
    <row r="21" spans="1:17" ht="18.75" x14ac:dyDescent="0.25">
      <c r="A21" s="64">
        <v>14</v>
      </c>
      <c r="B21" s="65" t="s">
        <v>20</v>
      </c>
      <c r="C21" s="66">
        <v>9.3000000000000007</v>
      </c>
      <c r="D21" s="66">
        <v>55.9</v>
      </c>
      <c r="E21" s="66">
        <v>4.5</v>
      </c>
    </row>
    <row r="22" spans="1:17" ht="18.75" x14ac:dyDescent="0.25">
      <c r="A22" s="64">
        <v>15</v>
      </c>
      <c r="B22" s="65" t="s">
        <v>21</v>
      </c>
      <c r="C22" s="66">
        <v>9.3000000000000007</v>
      </c>
      <c r="D22" s="66">
        <v>55.9</v>
      </c>
      <c r="E22" s="66">
        <v>4.5</v>
      </c>
    </row>
    <row r="23" spans="1:17" ht="18.75" x14ac:dyDescent="0.25">
      <c r="A23" s="64">
        <v>16</v>
      </c>
      <c r="B23" s="65" t="s">
        <v>22</v>
      </c>
      <c r="C23" s="66">
        <v>9.3000000000000007</v>
      </c>
      <c r="D23" s="66">
        <v>55.9</v>
      </c>
      <c r="E23" s="66">
        <v>4.5</v>
      </c>
    </row>
    <row r="24" spans="1:17" ht="18.75" x14ac:dyDescent="0.25">
      <c r="A24" s="64">
        <v>17</v>
      </c>
      <c r="B24" s="65" t="s">
        <v>23</v>
      </c>
      <c r="C24" s="66">
        <v>9.3000000000000007</v>
      </c>
      <c r="D24" s="66">
        <v>55.9</v>
      </c>
      <c r="E24" s="66">
        <v>4.5</v>
      </c>
    </row>
    <row r="25" spans="1:17" ht="18.75" x14ac:dyDescent="0.25">
      <c r="A25" s="64">
        <v>18</v>
      </c>
      <c r="B25" s="65" t="s">
        <v>24</v>
      </c>
      <c r="C25" s="66">
        <v>9.3000000000000007</v>
      </c>
      <c r="D25" s="66">
        <v>55.9</v>
      </c>
      <c r="E25" s="66">
        <v>4.5</v>
      </c>
    </row>
    <row r="26" spans="1:17" ht="18.75" x14ac:dyDescent="0.25">
      <c r="A26" s="64">
        <v>19</v>
      </c>
      <c r="B26" s="65" t="s">
        <v>25</v>
      </c>
      <c r="C26" s="66">
        <v>23.2</v>
      </c>
      <c r="D26" s="66">
        <v>140.19999999999999</v>
      </c>
      <c r="E26" s="66">
        <v>11.2</v>
      </c>
    </row>
    <row r="27" spans="1:17" ht="18.75" x14ac:dyDescent="0.25">
      <c r="A27" s="64">
        <v>20</v>
      </c>
      <c r="B27" s="65" t="s">
        <v>26</v>
      </c>
      <c r="C27" s="66">
        <v>9.3000000000000007</v>
      </c>
      <c r="D27" s="66">
        <v>55.9</v>
      </c>
      <c r="E27" s="66">
        <v>4.5</v>
      </c>
    </row>
    <row r="28" spans="1:17" ht="18.75" x14ac:dyDescent="0.25">
      <c r="A28" s="64">
        <v>21</v>
      </c>
      <c r="B28" s="65" t="s">
        <v>27</v>
      </c>
      <c r="C28" s="66">
        <v>13.8</v>
      </c>
      <c r="D28" s="66">
        <v>83.9</v>
      </c>
      <c r="E28" s="66">
        <v>6.6</v>
      </c>
    </row>
    <row r="29" spans="1:17" ht="18.75" x14ac:dyDescent="0.25">
      <c r="A29" s="64">
        <v>22</v>
      </c>
      <c r="B29" s="65" t="s">
        <v>28</v>
      </c>
      <c r="C29" s="66">
        <v>9.3000000000000007</v>
      </c>
      <c r="D29" s="66">
        <v>55.9</v>
      </c>
      <c r="E29" s="66">
        <v>4.5</v>
      </c>
    </row>
    <row r="30" spans="1:17" ht="18.75" x14ac:dyDescent="0.25">
      <c r="A30" s="64">
        <v>23</v>
      </c>
      <c r="B30" s="65" t="s">
        <v>29</v>
      </c>
      <c r="C30" s="66">
        <v>9.3000000000000007</v>
      </c>
      <c r="D30" s="66">
        <v>55.9</v>
      </c>
      <c r="E30" s="66">
        <v>4.5</v>
      </c>
    </row>
    <row r="31" spans="1:17" ht="18.75" x14ac:dyDescent="0.25">
      <c r="A31" s="64">
        <v>24</v>
      </c>
      <c r="B31" s="65" t="s">
        <v>30</v>
      </c>
      <c r="C31" s="66">
        <v>23.2</v>
      </c>
      <c r="D31" s="66">
        <v>140.19999999999999</v>
      </c>
      <c r="E31" s="66">
        <v>11.2</v>
      </c>
    </row>
    <row r="32" spans="1:17" ht="18.75" x14ac:dyDescent="0.25">
      <c r="A32" s="64">
        <v>25</v>
      </c>
      <c r="B32" s="65" t="s">
        <v>31</v>
      </c>
      <c r="C32" s="66">
        <v>9.3000000000000007</v>
      </c>
      <c r="D32" s="66">
        <v>55.9</v>
      </c>
      <c r="E32" s="66">
        <v>4.5</v>
      </c>
    </row>
    <row r="33" spans="1:5" ht="18.75" x14ac:dyDescent="0.25">
      <c r="A33" s="64">
        <v>26</v>
      </c>
      <c r="B33" s="65" t="s">
        <v>32</v>
      </c>
      <c r="C33" s="66">
        <v>9.3000000000000007</v>
      </c>
      <c r="D33" s="66">
        <v>55.9</v>
      </c>
      <c r="E33" s="66">
        <v>4.5</v>
      </c>
    </row>
    <row r="34" spans="1:5" ht="18.75" x14ac:dyDescent="0.25">
      <c r="A34" s="64">
        <v>27</v>
      </c>
      <c r="B34" s="65" t="s">
        <v>34</v>
      </c>
      <c r="C34" s="66">
        <v>23.2</v>
      </c>
      <c r="D34" s="66">
        <v>140.19999999999999</v>
      </c>
      <c r="E34" s="66">
        <v>11.2</v>
      </c>
    </row>
    <row r="35" spans="1:5" ht="18.75" x14ac:dyDescent="0.25">
      <c r="A35" s="64">
        <v>28</v>
      </c>
      <c r="B35" s="65" t="s">
        <v>35</v>
      </c>
      <c r="C35" s="66">
        <v>9.3000000000000007</v>
      </c>
      <c r="D35" s="66">
        <v>55.9</v>
      </c>
      <c r="E35" s="66">
        <v>4.5</v>
      </c>
    </row>
    <row r="36" spans="1:5" ht="18.75" x14ac:dyDescent="0.25">
      <c r="A36" s="64">
        <v>29</v>
      </c>
      <c r="B36" s="65" t="s">
        <v>36</v>
      </c>
      <c r="C36" s="66">
        <v>15.6</v>
      </c>
      <c r="D36" s="66">
        <v>94.3</v>
      </c>
      <c r="E36" s="66">
        <v>7.5</v>
      </c>
    </row>
    <row r="37" spans="1:5" ht="18.75" x14ac:dyDescent="0.25">
      <c r="A37" s="64">
        <v>30</v>
      </c>
      <c r="B37" s="65" t="s">
        <v>37</v>
      </c>
      <c r="C37" s="66">
        <v>9.3000000000000007</v>
      </c>
      <c r="D37" s="66">
        <v>55.9</v>
      </c>
      <c r="E37" s="66">
        <v>4.5</v>
      </c>
    </row>
    <row r="38" spans="1:5" ht="18.75" x14ac:dyDescent="0.25">
      <c r="A38" s="64">
        <v>31</v>
      </c>
      <c r="B38" s="65" t="s">
        <v>38</v>
      </c>
      <c r="C38" s="66">
        <v>9.3000000000000007</v>
      </c>
      <c r="D38" s="66">
        <v>55.9</v>
      </c>
      <c r="E38" s="66">
        <v>4.5</v>
      </c>
    </row>
    <row r="39" spans="1:5" ht="18.75" x14ac:dyDescent="0.25">
      <c r="A39" s="64">
        <v>32</v>
      </c>
      <c r="B39" s="65" t="s">
        <v>39</v>
      </c>
      <c r="C39" s="66">
        <v>9.3000000000000007</v>
      </c>
      <c r="D39" s="66">
        <v>55.9</v>
      </c>
      <c r="E39" s="66">
        <v>4.5</v>
      </c>
    </row>
    <row r="40" spans="1:5" ht="18.75" x14ac:dyDescent="0.25">
      <c r="A40" s="64">
        <v>33</v>
      </c>
      <c r="B40" s="65" t="s">
        <v>41</v>
      </c>
      <c r="C40" s="66">
        <v>9.3000000000000007</v>
      </c>
      <c r="D40" s="66">
        <v>55.9</v>
      </c>
      <c r="E40" s="66">
        <v>4.5</v>
      </c>
    </row>
    <row r="41" spans="1:5" ht="18.75" x14ac:dyDescent="0.25">
      <c r="A41" s="64">
        <v>34</v>
      </c>
      <c r="B41" s="65" t="s">
        <v>42</v>
      </c>
      <c r="C41" s="66">
        <v>9.3000000000000007</v>
      </c>
      <c r="D41" s="66">
        <v>55.9</v>
      </c>
      <c r="E41" s="66">
        <v>4.5</v>
      </c>
    </row>
    <row r="42" spans="1:5" ht="18.75" x14ac:dyDescent="0.25">
      <c r="A42" s="64">
        <v>35</v>
      </c>
      <c r="B42" s="65" t="s">
        <v>43</v>
      </c>
      <c r="C42" s="66">
        <v>15.6</v>
      </c>
      <c r="D42" s="66">
        <v>94.3</v>
      </c>
      <c r="E42" s="66">
        <v>7.5</v>
      </c>
    </row>
    <row r="43" spans="1:5" ht="18.75" x14ac:dyDescent="0.25">
      <c r="A43" s="64">
        <v>36</v>
      </c>
      <c r="B43" s="65" t="s">
        <v>45</v>
      </c>
      <c r="C43" s="66">
        <v>15.6</v>
      </c>
      <c r="D43" s="66">
        <v>94.3</v>
      </c>
      <c r="E43" s="66">
        <v>7.5</v>
      </c>
    </row>
    <row r="44" spans="1:5" ht="18.75" x14ac:dyDescent="0.25">
      <c r="A44" s="64">
        <v>37</v>
      </c>
      <c r="B44" s="65" t="s">
        <v>46</v>
      </c>
      <c r="C44" s="66">
        <v>9.3000000000000007</v>
      </c>
      <c r="D44" s="66">
        <v>55.9</v>
      </c>
      <c r="E44" s="66">
        <v>4.5</v>
      </c>
    </row>
    <row r="45" spans="1:5" ht="18.75" x14ac:dyDescent="0.25">
      <c r="A45" s="68"/>
      <c r="B45" s="69" t="s">
        <v>49</v>
      </c>
      <c r="C45" s="70">
        <f>SUM(C8:C44)</f>
        <v>786.2999999999995</v>
      </c>
      <c r="D45" s="70">
        <f>SUM(D8:D44)</f>
        <v>4747.5999999999995</v>
      </c>
      <c r="E45" s="70">
        <f>SUM(E8:E44)</f>
        <v>375.39999999999992</v>
      </c>
    </row>
    <row r="46" spans="1:5" x14ac:dyDescent="0.25">
      <c r="A46" s="71"/>
      <c r="B46" s="71"/>
      <c r="C46" s="71"/>
    </row>
  </sheetData>
  <mergeCells count="9">
    <mergeCell ref="A1:E1"/>
    <mergeCell ref="A2:E2"/>
    <mergeCell ref="A3:A6"/>
    <mergeCell ref="B3:B6"/>
    <mergeCell ref="C3:E3"/>
    <mergeCell ref="C4:C6"/>
    <mergeCell ref="D4:E4"/>
    <mergeCell ref="D5:D6"/>
    <mergeCell ref="E5:E6"/>
  </mergeCells>
  <printOptions horizontalCentered="1"/>
  <pageMargins left="0.59055118110236227" right="0.39370078740157483" top="0.39370078740157483" bottom="0.39370078740157483" header="0" footer="0"/>
  <pageSetup paperSize="9" scale="8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Q224"/>
  <sheetViews>
    <sheetView view="pageBreakPreview" zoomScaleNormal="150" zoomScaleSheetLayoutView="100" workbookViewId="0">
      <selection activeCell="L8" sqref="L8"/>
    </sheetView>
  </sheetViews>
  <sheetFormatPr defaultRowHeight="18" x14ac:dyDescent="0.25"/>
  <cols>
    <col min="1" max="1" width="7.28515625" style="72" bestFit="1" customWidth="1"/>
    <col min="2" max="2" width="57.140625" style="72" customWidth="1"/>
    <col min="3" max="5" width="13.7109375" style="72" customWidth="1"/>
    <col min="6" max="256" width="9.140625" style="72"/>
    <col min="257" max="257" width="7.28515625" style="72" bestFit="1" customWidth="1"/>
    <col min="258" max="258" width="54.140625" style="72" customWidth="1"/>
    <col min="259" max="261" width="13.7109375" style="72" customWidth="1"/>
    <col min="262" max="512" width="9.140625" style="72"/>
    <col min="513" max="513" width="7.28515625" style="72" bestFit="1" customWidth="1"/>
    <col min="514" max="514" width="54.140625" style="72" customWidth="1"/>
    <col min="515" max="517" width="13.7109375" style="72" customWidth="1"/>
    <col min="518" max="768" width="9.140625" style="72"/>
    <col min="769" max="769" width="7.28515625" style="72" bestFit="1" customWidth="1"/>
    <col min="770" max="770" width="54.140625" style="72" customWidth="1"/>
    <col min="771" max="773" width="13.7109375" style="72" customWidth="1"/>
    <col min="774" max="1024" width="9.140625" style="72"/>
    <col min="1025" max="1025" width="7.28515625" style="72" bestFit="1" customWidth="1"/>
    <col min="1026" max="1026" width="54.140625" style="72" customWidth="1"/>
    <col min="1027" max="1029" width="13.7109375" style="72" customWidth="1"/>
    <col min="1030" max="1280" width="9.140625" style="72"/>
    <col min="1281" max="1281" width="7.28515625" style="72" bestFit="1" customWidth="1"/>
    <col min="1282" max="1282" width="54.140625" style="72" customWidth="1"/>
    <col min="1283" max="1285" width="13.7109375" style="72" customWidth="1"/>
    <col min="1286" max="1536" width="9.140625" style="72"/>
    <col min="1537" max="1537" width="7.28515625" style="72" bestFit="1" customWidth="1"/>
    <col min="1538" max="1538" width="54.140625" style="72" customWidth="1"/>
    <col min="1539" max="1541" width="13.7109375" style="72" customWidth="1"/>
    <col min="1542" max="1792" width="9.140625" style="72"/>
    <col min="1793" max="1793" width="7.28515625" style="72" bestFit="1" customWidth="1"/>
    <col min="1794" max="1794" width="54.140625" style="72" customWidth="1"/>
    <col min="1795" max="1797" width="13.7109375" style="72" customWidth="1"/>
    <col min="1798" max="2048" width="9.140625" style="72"/>
    <col min="2049" max="2049" width="7.28515625" style="72" bestFit="1" customWidth="1"/>
    <col min="2050" max="2050" width="54.140625" style="72" customWidth="1"/>
    <col min="2051" max="2053" width="13.7109375" style="72" customWidth="1"/>
    <col min="2054" max="2304" width="9.140625" style="72"/>
    <col min="2305" max="2305" width="7.28515625" style="72" bestFit="1" customWidth="1"/>
    <col min="2306" max="2306" width="54.140625" style="72" customWidth="1"/>
    <col min="2307" max="2309" width="13.7109375" style="72" customWidth="1"/>
    <col min="2310" max="2560" width="9.140625" style="72"/>
    <col min="2561" max="2561" width="7.28515625" style="72" bestFit="1" customWidth="1"/>
    <col min="2562" max="2562" width="54.140625" style="72" customWidth="1"/>
    <col min="2563" max="2565" width="13.7109375" style="72" customWidth="1"/>
    <col min="2566" max="2816" width="9.140625" style="72"/>
    <col min="2817" max="2817" width="7.28515625" style="72" bestFit="1" customWidth="1"/>
    <col min="2818" max="2818" width="54.140625" style="72" customWidth="1"/>
    <col min="2819" max="2821" width="13.7109375" style="72" customWidth="1"/>
    <col min="2822" max="3072" width="9.140625" style="72"/>
    <col min="3073" max="3073" width="7.28515625" style="72" bestFit="1" customWidth="1"/>
    <col min="3074" max="3074" width="54.140625" style="72" customWidth="1"/>
    <col min="3075" max="3077" width="13.7109375" style="72" customWidth="1"/>
    <col min="3078" max="3328" width="9.140625" style="72"/>
    <col min="3329" max="3329" width="7.28515625" style="72" bestFit="1" customWidth="1"/>
    <col min="3330" max="3330" width="54.140625" style="72" customWidth="1"/>
    <col min="3331" max="3333" width="13.7109375" style="72" customWidth="1"/>
    <col min="3334" max="3584" width="9.140625" style="72"/>
    <col min="3585" max="3585" width="7.28515625" style="72" bestFit="1" customWidth="1"/>
    <col min="3586" max="3586" width="54.140625" style="72" customWidth="1"/>
    <col min="3587" max="3589" width="13.7109375" style="72" customWidth="1"/>
    <col min="3590" max="3840" width="9.140625" style="72"/>
    <col min="3841" max="3841" width="7.28515625" style="72" bestFit="1" customWidth="1"/>
    <col min="3842" max="3842" width="54.140625" style="72" customWidth="1"/>
    <col min="3843" max="3845" width="13.7109375" style="72" customWidth="1"/>
    <col min="3846" max="4096" width="9.140625" style="72"/>
    <col min="4097" max="4097" width="7.28515625" style="72" bestFit="1" customWidth="1"/>
    <col min="4098" max="4098" width="54.140625" style="72" customWidth="1"/>
    <col min="4099" max="4101" width="13.7109375" style="72" customWidth="1"/>
    <col min="4102" max="4352" width="9.140625" style="72"/>
    <col min="4353" max="4353" width="7.28515625" style="72" bestFit="1" customWidth="1"/>
    <col min="4354" max="4354" width="54.140625" style="72" customWidth="1"/>
    <col min="4355" max="4357" width="13.7109375" style="72" customWidth="1"/>
    <col min="4358" max="4608" width="9.140625" style="72"/>
    <col min="4609" max="4609" width="7.28515625" style="72" bestFit="1" customWidth="1"/>
    <col min="4610" max="4610" width="54.140625" style="72" customWidth="1"/>
    <col min="4611" max="4613" width="13.7109375" style="72" customWidth="1"/>
    <col min="4614" max="4864" width="9.140625" style="72"/>
    <col min="4865" max="4865" width="7.28515625" style="72" bestFit="1" customWidth="1"/>
    <col min="4866" max="4866" width="54.140625" style="72" customWidth="1"/>
    <col min="4867" max="4869" width="13.7109375" style="72" customWidth="1"/>
    <col min="4870" max="5120" width="9.140625" style="72"/>
    <col min="5121" max="5121" width="7.28515625" style="72" bestFit="1" customWidth="1"/>
    <col min="5122" max="5122" width="54.140625" style="72" customWidth="1"/>
    <col min="5123" max="5125" width="13.7109375" style="72" customWidth="1"/>
    <col min="5126" max="5376" width="9.140625" style="72"/>
    <col min="5377" max="5377" width="7.28515625" style="72" bestFit="1" customWidth="1"/>
    <col min="5378" max="5378" width="54.140625" style="72" customWidth="1"/>
    <col min="5379" max="5381" width="13.7109375" style="72" customWidth="1"/>
    <col min="5382" max="5632" width="9.140625" style="72"/>
    <col min="5633" max="5633" width="7.28515625" style="72" bestFit="1" customWidth="1"/>
    <col min="5634" max="5634" width="54.140625" style="72" customWidth="1"/>
    <col min="5635" max="5637" width="13.7109375" style="72" customWidth="1"/>
    <col min="5638" max="5888" width="9.140625" style="72"/>
    <col min="5889" max="5889" width="7.28515625" style="72" bestFit="1" customWidth="1"/>
    <col min="5890" max="5890" width="54.140625" style="72" customWidth="1"/>
    <col min="5891" max="5893" width="13.7109375" style="72" customWidth="1"/>
    <col min="5894" max="6144" width="9.140625" style="72"/>
    <col min="6145" max="6145" width="7.28515625" style="72" bestFit="1" customWidth="1"/>
    <col min="6146" max="6146" width="54.140625" style="72" customWidth="1"/>
    <col min="6147" max="6149" width="13.7109375" style="72" customWidth="1"/>
    <col min="6150" max="6400" width="9.140625" style="72"/>
    <col min="6401" max="6401" width="7.28515625" style="72" bestFit="1" customWidth="1"/>
    <col min="6402" max="6402" width="54.140625" style="72" customWidth="1"/>
    <col min="6403" max="6405" width="13.7109375" style="72" customWidth="1"/>
    <col min="6406" max="6656" width="9.140625" style="72"/>
    <col min="6657" max="6657" width="7.28515625" style="72" bestFit="1" customWidth="1"/>
    <col min="6658" max="6658" width="54.140625" style="72" customWidth="1"/>
    <col min="6659" max="6661" width="13.7109375" style="72" customWidth="1"/>
    <col min="6662" max="6912" width="9.140625" style="72"/>
    <col min="6913" max="6913" width="7.28515625" style="72" bestFit="1" customWidth="1"/>
    <col min="6914" max="6914" width="54.140625" style="72" customWidth="1"/>
    <col min="6915" max="6917" width="13.7109375" style="72" customWidth="1"/>
    <col min="6918" max="7168" width="9.140625" style="72"/>
    <col min="7169" max="7169" width="7.28515625" style="72" bestFit="1" customWidth="1"/>
    <col min="7170" max="7170" width="54.140625" style="72" customWidth="1"/>
    <col min="7171" max="7173" width="13.7109375" style="72" customWidth="1"/>
    <col min="7174" max="7424" width="9.140625" style="72"/>
    <col min="7425" max="7425" width="7.28515625" style="72" bestFit="1" customWidth="1"/>
    <col min="7426" max="7426" width="54.140625" style="72" customWidth="1"/>
    <col min="7427" max="7429" width="13.7109375" style="72" customWidth="1"/>
    <col min="7430" max="7680" width="9.140625" style="72"/>
    <col min="7681" max="7681" width="7.28515625" style="72" bestFit="1" customWidth="1"/>
    <col min="7682" max="7682" width="54.140625" style="72" customWidth="1"/>
    <col min="7683" max="7685" width="13.7109375" style="72" customWidth="1"/>
    <col min="7686" max="7936" width="9.140625" style="72"/>
    <col min="7937" max="7937" width="7.28515625" style="72" bestFit="1" customWidth="1"/>
    <col min="7938" max="7938" width="54.140625" style="72" customWidth="1"/>
    <col min="7939" max="7941" width="13.7109375" style="72" customWidth="1"/>
    <col min="7942" max="8192" width="9.140625" style="72"/>
    <col min="8193" max="8193" width="7.28515625" style="72" bestFit="1" customWidth="1"/>
    <col min="8194" max="8194" width="54.140625" style="72" customWidth="1"/>
    <col min="8195" max="8197" width="13.7109375" style="72" customWidth="1"/>
    <col min="8198" max="8448" width="9.140625" style="72"/>
    <col min="8449" max="8449" width="7.28515625" style="72" bestFit="1" customWidth="1"/>
    <col min="8450" max="8450" width="54.140625" style="72" customWidth="1"/>
    <col min="8451" max="8453" width="13.7109375" style="72" customWidth="1"/>
    <col min="8454" max="8704" width="9.140625" style="72"/>
    <col min="8705" max="8705" width="7.28515625" style="72" bestFit="1" customWidth="1"/>
    <col min="8706" max="8706" width="54.140625" style="72" customWidth="1"/>
    <col min="8707" max="8709" width="13.7109375" style="72" customWidth="1"/>
    <col min="8710" max="8960" width="9.140625" style="72"/>
    <col min="8961" max="8961" width="7.28515625" style="72" bestFit="1" customWidth="1"/>
    <col min="8962" max="8962" width="54.140625" style="72" customWidth="1"/>
    <col min="8963" max="8965" width="13.7109375" style="72" customWidth="1"/>
    <col min="8966" max="9216" width="9.140625" style="72"/>
    <col min="9217" max="9217" width="7.28515625" style="72" bestFit="1" customWidth="1"/>
    <col min="9218" max="9218" width="54.140625" style="72" customWidth="1"/>
    <col min="9219" max="9221" width="13.7109375" style="72" customWidth="1"/>
    <col min="9222" max="9472" width="9.140625" style="72"/>
    <col min="9473" max="9473" width="7.28515625" style="72" bestFit="1" customWidth="1"/>
    <col min="9474" max="9474" width="54.140625" style="72" customWidth="1"/>
    <col min="9475" max="9477" width="13.7109375" style="72" customWidth="1"/>
    <col min="9478" max="9728" width="9.140625" style="72"/>
    <col min="9729" max="9729" width="7.28515625" style="72" bestFit="1" customWidth="1"/>
    <col min="9730" max="9730" width="54.140625" style="72" customWidth="1"/>
    <col min="9731" max="9733" width="13.7109375" style="72" customWidth="1"/>
    <col min="9734" max="9984" width="9.140625" style="72"/>
    <col min="9985" max="9985" width="7.28515625" style="72" bestFit="1" customWidth="1"/>
    <col min="9986" max="9986" width="54.140625" style="72" customWidth="1"/>
    <col min="9987" max="9989" width="13.7109375" style="72" customWidth="1"/>
    <col min="9990" max="10240" width="9.140625" style="72"/>
    <col min="10241" max="10241" width="7.28515625" style="72" bestFit="1" customWidth="1"/>
    <col min="10242" max="10242" width="54.140625" style="72" customWidth="1"/>
    <col min="10243" max="10245" width="13.7109375" style="72" customWidth="1"/>
    <col min="10246" max="10496" width="9.140625" style="72"/>
    <col min="10497" max="10497" width="7.28515625" style="72" bestFit="1" customWidth="1"/>
    <col min="10498" max="10498" width="54.140625" style="72" customWidth="1"/>
    <col min="10499" max="10501" width="13.7109375" style="72" customWidth="1"/>
    <col min="10502" max="10752" width="9.140625" style="72"/>
    <col min="10753" max="10753" width="7.28515625" style="72" bestFit="1" customWidth="1"/>
    <col min="10754" max="10754" width="54.140625" style="72" customWidth="1"/>
    <col min="10755" max="10757" width="13.7109375" style="72" customWidth="1"/>
    <col min="10758" max="11008" width="9.140625" style="72"/>
    <col min="11009" max="11009" width="7.28515625" style="72" bestFit="1" customWidth="1"/>
    <col min="11010" max="11010" width="54.140625" style="72" customWidth="1"/>
    <col min="11011" max="11013" width="13.7109375" style="72" customWidth="1"/>
    <col min="11014" max="11264" width="9.140625" style="72"/>
    <col min="11265" max="11265" width="7.28515625" style="72" bestFit="1" customWidth="1"/>
    <col min="11266" max="11266" width="54.140625" style="72" customWidth="1"/>
    <col min="11267" max="11269" width="13.7109375" style="72" customWidth="1"/>
    <col min="11270" max="11520" width="9.140625" style="72"/>
    <col min="11521" max="11521" width="7.28515625" style="72" bestFit="1" customWidth="1"/>
    <col min="11522" max="11522" width="54.140625" style="72" customWidth="1"/>
    <col min="11523" max="11525" width="13.7109375" style="72" customWidth="1"/>
    <col min="11526" max="11776" width="9.140625" style="72"/>
    <col min="11777" max="11777" width="7.28515625" style="72" bestFit="1" customWidth="1"/>
    <col min="11778" max="11778" width="54.140625" style="72" customWidth="1"/>
    <col min="11779" max="11781" width="13.7109375" style="72" customWidth="1"/>
    <col min="11782" max="12032" width="9.140625" style="72"/>
    <col min="12033" max="12033" width="7.28515625" style="72" bestFit="1" customWidth="1"/>
    <col min="12034" max="12034" width="54.140625" style="72" customWidth="1"/>
    <col min="12035" max="12037" width="13.7109375" style="72" customWidth="1"/>
    <col min="12038" max="12288" width="9.140625" style="72"/>
    <col min="12289" max="12289" width="7.28515625" style="72" bestFit="1" customWidth="1"/>
    <col min="12290" max="12290" width="54.140625" style="72" customWidth="1"/>
    <col min="12291" max="12293" width="13.7109375" style="72" customWidth="1"/>
    <col min="12294" max="12544" width="9.140625" style="72"/>
    <col min="12545" max="12545" width="7.28515625" style="72" bestFit="1" customWidth="1"/>
    <col min="12546" max="12546" width="54.140625" style="72" customWidth="1"/>
    <col min="12547" max="12549" width="13.7109375" style="72" customWidth="1"/>
    <col min="12550" max="12800" width="9.140625" style="72"/>
    <col min="12801" max="12801" width="7.28515625" style="72" bestFit="1" customWidth="1"/>
    <col min="12802" max="12802" width="54.140625" style="72" customWidth="1"/>
    <col min="12803" max="12805" width="13.7109375" style="72" customWidth="1"/>
    <col min="12806" max="13056" width="9.140625" style="72"/>
    <col min="13057" max="13057" width="7.28515625" style="72" bestFit="1" customWidth="1"/>
    <col min="13058" max="13058" width="54.140625" style="72" customWidth="1"/>
    <col min="13059" max="13061" width="13.7109375" style="72" customWidth="1"/>
    <col min="13062" max="13312" width="9.140625" style="72"/>
    <col min="13313" max="13313" width="7.28515625" style="72" bestFit="1" customWidth="1"/>
    <col min="13314" max="13314" width="54.140625" style="72" customWidth="1"/>
    <col min="13315" max="13317" width="13.7109375" style="72" customWidth="1"/>
    <col min="13318" max="13568" width="9.140625" style="72"/>
    <col min="13569" max="13569" width="7.28515625" style="72" bestFit="1" customWidth="1"/>
    <col min="13570" max="13570" width="54.140625" style="72" customWidth="1"/>
    <col min="13571" max="13573" width="13.7109375" style="72" customWidth="1"/>
    <col min="13574" max="13824" width="9.140625" style="72"/>
    <col min="13825" max="13825" width="7.28515625" style="72" bestFit="1" customWidth="1"/>
    <col min="13826" max="13826" width="54.140625" style="72" customWidth="1"/>
    <col min="13827" max="13829" width="13.7109375" style="72" customWidth="1"/>
    <col min="13830" max="14080" width="9.140625" style="72"/>
    <col min="14081" max="14081" width="7.28515625" style="72" bestFit="1" customWidth="1"/>
    <col min="14082" max="14082" width="54.140625" style="72" customWidth="1"/>
    <col min="14083" max="14085" width="13.7109375" style="72" customWidth="1"/>
    <col min="14086" max="14336" width="9.140625" style="72"/>
    <col min="14337" max="14337" width="7.28515625" style="72" bestFit="1" customWidth="1"/>
    <col min="14338" max="14338" width="54.140625" style="72" customWidth="1"/>
    <col min="14339" max="14341" width="13.7109375" style="72" customWidth="1"/>
    <col min="14342" max="14592" width="9.140625" style="72"/>
    <col min="14593" max="14593" width="7.28515625" style="72" bestFit="1" customWidth="1"/>
    <col min="14594" max="14594" width="54.140625" style="72" customWidth="1"/>
    <col min="14595" max="14597" width="13.7109375" style="72" customWidth="1"/>
    <col min="14598" max="14848" width="9.140625" style="72"/>
    <col min="14849" max="14849" width="7.28515625" style="72" bestFit="1" customWidth="1"/>
    <col min="14850" max="14850" width="54.140625" style="72" customWidth="1"/>
    <col min="14851" max="14853" width="13.7109375" style="72" customWidth="1"/>
    <col min="14854" max="15104" width="9.140625" style="72"/>
    <col min="15105" max="15105" width="7.28515625" style="72" bestFit="1" customWidth="1"/>
    <col min="15106" max="15106" width="54.140625" style="72" customWidth="1"/>
    <col min="15107" max="15109" width="13.7109375" style="72" customWidth="1"/>
    <col min="15110" max="15360" width="9.140625" style="72"/>
    <col min="15361" max="15361" width="7.28515625" style="72" bestFit="1" customWidth="1"/>
    <col min="15362" max="15362" width="54.140625" style="72" customWidth="1"/>
    <col min="15363" max="15365" width="13.7109375" style="72" customWidth="1"/>
    <col min="15366" max="15616" width="9.140625" style="72"/>
    <col min="15617" max="15617" width="7.28515625" style="72" bestFit="1" customWidth="1"/>
    <col min="15618" max="15618" width="54.140625" style="72" customWidth="1"/>
    <col min="15619" max="15621" width="13.7109375" style="72" customWidth="1"/>
    <col min="15622" max="15872" width="9.140625" style="72"/>
    <col min="15873" max="15873" width="7.28515625" style="72" bestFit="1" customWidth="1"/>
    <col min="15874" max="15874" width="54.140625" style="72" customWidth="1"/>
    <col min="15875" max="15877" width="13.7109375" style="72" customWidth="1"/>
    <col min="15878" max="16128" width="9.140625" style="72"/>
    <col min="16129" max="16129" width="7.28515625" style="72" bestFit="1" customWidth="1"/>
    <col min="16130" max="16130" width="54.140625" style="72" customWidth="1"/>
    <col min="16131" max="16133" width="13.7109375" style="72" customWidth="1"/>
    <col min="16134" max="16384" width="9.140625" style="72"/>
  </cols>
  <sheetData>
    <row r="1" spans="1:6" ht="18.75" x14ac:dyDescent="0.25">
      <c r="A1" s="599" t="s">
        <v>402</v>
      </c>
      <c r="B1" s="599"/>
      <c r="C1" s="599"/>
      <c r="D1" s="599"/>
      <c r="E1" s="599"/>
    </row>
    <row r="2" spans="1:6" ht="64.5" customHeight="1" x14ac:dyDescent="0.25">
      <c r="A2" s="600" t="s">
        <v>463</v>
      </c>
      <c r="B2" s="600"/>
      <c r="C2" s="600"/>
      <c r="D2" s="600"/>
      <c r="E2" s="600"/>
    </row>
    <row r="3" spans="1:6" ht="18.75" x14ac:dyDescent="0.25">
      <c r="A3" s="601" t="s">
        <v>51</v>
      </c>
      <c r="B3" s="604" t="s">
        <v>52</v>
      </c>
      <c r="C3" s="607" t="s">
        <v>71</v>
      </c>
      <c r="D3" s="607"/>
      <c r="E3" s="607"/>
    </row>
    <row r="4" spans="1:6" ht="18.75" x14ac:dyDescent="0.25">
      <c r="A4" s="602"/>
      <c r="B4" s="605"/>
      <c r="C4" s="608" t="s">
        <v>3</v>
      </c>
      <c r="D4" s="610" t="s">
        <v>4</v>
      </c>
      <c r="E4" s="611"/>
    </row>
    <row r="5" spans="1:6" ht="18.75" x14ac:dyDescent="0.25">
      <c r="A5" s="603"/>
      <c r="B5" s="606"/>
      <c r="C5" s="609"/>
      <c r="D5" s="73" t="s">
        <v>5</v>
      </c>
      <c r="E5" s="73" t="s">
        <v>6</v>
      </c>
    </row>
    <row r="6" spans="1:6" ht="18.75" x14ac:dyDescent="0.25">
      <c r="A6" s="74" t="s">
        <v>53</v>
      </c>
      <c r="B6" s="75" t="s">
        <v>54</v>
      </c>
      <c r="C6" s="76" t="s">
        <v>55</v>
      </c>
      <c r="D6" s="76">
        <v>4</v>
      </c>
      <c r="E6" s="76">
        <v>5</v>
      </c>
    </row>
    <row r="7" spans="1:6" ht="18.75" x14ac:dyDescent="0.25">
      <c r="A7" s="77">
        <v>1</v>
      </c>
      <c r="B7" s="78" t="s">
        <v>16</v>
      </c>
      <c r="C7" s="79">
        <v>526.1</v>
      </c>
      <c r="D7" s="79">
        <v>530.79999999999995</v>
      </c>
      <c r="E7" s="79">
        <v>548.5</v>
      </c>
      <c r="F7" s="80"/>
    </row>
    <row r="8" spans="1:6" ht="18.75" x14ac:dyDescent="0.25">
      <c r="A8" s="77">
        <v>2</v>
      </c>
      <c r="B8" s="78" t="s">
        <v>17</v>
      </c>
      <c r="C8" s="79">
        <v>509.5</v>
      </c>
      <c r="D8" s="79">
        <v>514.1</v>
      </c>
      <c r="E8" s="79">
        <v>531.9</v>
      </c>
      <c r="F8" s="80"/>
    </row>
    <row r="9" spans="1:6" ht="18.75" x14ac:dyDescent="0.25">
      <c r="A9" s="77">
        <v>3</v>
      </c>
      <c r="B9" s="78" t="s">
        <v>19</v>
      </c>
      <c r="C9" s="79">
        <v>505.7</v>
      </c>
      <c r="D9" s="79">
        <v>510.3</v>
      </c>
      <c r="E9" s="79">
        <v>528.1</v>
      </c>
      <c r="F9" s="80"/>
    </row>
    <row r="10" spans="1:6" ht="18.75" x14ac:dyDescent="0.25">
      <c r="A10" s="77">
        <v>4</v>
      </c>
      <c r="B10" s="78" t="s">
        <v>20</v>
      </c>
      <c r="C10" s="79">
        <v>253.7</v>
      </c>
      <c r="D10" s="79">
        <v>256</v>
      </c>
      <c r="E10" s="79">
        <v>264.89999999999998</v>
      </c>
      <c r="F10" s="80"/>
    </row>
    <row r="11" spans="1:6" ht="18.75" x14ac:dyDescent="0.25">
      <c r="A11" s="77">
        <v>5</v>
      </c>
      <c r="B11" s="78" t="s">
        <v>21</v>
      </c>
      <c r="C11" s="79">
        <v>510.8</v>
      </c>
      <c r="D11" s="79">
        <v>515.4</v>
      </c>
      <c r="E11" s="79">
        <v>533.20000000000005</v>
      </c>
      <c r="F11" s="80"/>
    </row>
    <row r="12" spans="1:6" ht="18.75" x14ac:dyDescent="0.25">
      <c r="A12" s="77">
        <v>6</v>
      </c>
      <c r="B12" s="78" t="s">
        <v>22</v>
      </c>
      <c r="C12" s="79">
        <v>261.60000000000002</v>
      </c>
      <c r="D12" s="79">
        <v>263.89999999999998</v>
      </c>
      <c r="E12" s="79">
        <v>272.8</v>
      </c>
      <c r="F12" s="80"/>
    </row>
    <row r="13" spans="1:6" ht="18.75" x14ac:dyDescent="0.25">
      <c r="A13" s="77">
        <v>7</v>
      </c>
      <c r="B13" s="78" t="s">
        <v>24</v>
      </c>
      <c r="C13" s="79">
        <v>514.70000000000005</v>
      </c>
      <c r="D13" s="79">
        <v>519.29999999999995</v>
      </c>
      <c r="E13" s="79">
        <v>537.1</v>
      </c>
      <c r="F13" s="80"/>
    </row>
    <row r="14" spans="1:6" ht="18.75" x14ac:dyDescent="0.25">
      <c r="A14" s="81" t="s">
        <v>58</v>
      </c>
      <c r="B14" s="82" t="s">
        <v>73</v>
      </c>
      <c r="C14" s="83">
        <f>SUM(C15:C26)</f>
        <v>1038.3</v>
      </c>
      <c r="D14" s="83">
        <f>SUM(D15:D26)</f>
        <v>1049.4000000000001</v>
      </c>
      <c r="E14" s="83">
        <f>SUM(E15:E26)</f>
        <v>1092.0999999999999</v>
      </c>
      <c r="F14" s="80"/>
    </row>
    <row r="15" spans="1:6" ht="18.75" x14ac:dyDescent="0.25">
      <c r="A15" s="77">
        <v>8</v>
      </c>
      <c r="B15" s="78" t="s">
        <v>75</v>
      </c>
      <c r="C15" s="79">
        <v>90.8</v>
      </c>
      <c r="D15" s="79">
        <v>91.8</v>
      </c>
      <c r="E15" s="79">
        <v>95.3</v>
      </c>
      <c r="F15" s="80"/>
    </row>
    <row r="16" spans="1:6" ht="18.75" x14ac:dyDescent="0.25">
      <c r="A16" s="77">
        <v>9</v>
      </c>
      <c r="B16" s="78" t="s">
        <v>76</v>
      </c>
      <c r="C16" s="79">
        <v>83.9</v>
      </c>
      <c r="D16" s="79">
        <v>84.8</v>
      </c>
      <c r="E16" s="79">
        <v>88.3</v>
      </c>
      <c r="F16" s="80"/>
    </row>
    <row r="17" spans="1:17" ht="18.75" x14ac:dyDescent="0.25">
      <c r="A17" s="77">
        <v>10</v>
      </c>
      <c r="B17" s="78" t="s">
        <v>77</v>
      </c>
      <c r="C17" s="79">
        <v>88.7</v>
      </c>
      <c r="D17" s="79">
        <v>89.6</v>
      </c>
      <c r="E17" s="79">
        <v>93.2</v>
      </c>
      <c r="F17" s="80"/>
    </row>
    <row r="18" spans="1:17" ht="18.75" x14ac:dyDescent="0.25">
      <c r="A18" s="77">
        <v>11</v>
      </c>
      <c r="B18" s="78" t="s">
        <v>78</v>
      </c>
      <c r="C18" s="79">
        <v>83.4</v>
      </c>
      <c r="D18" s="79">
        <v>84.3</v>
      </c>
      <c r="E18" s="79">
        <v>87.9</v>
      </c>
      <c r="F18" s="80"/>
    </row>
    <row r="19" spans="1:17" ht="18.75" x14ac:dyDescent="0.25">
      <c r="A19" s="77">
        <v>12</v>
      </c>
      <c r="B19" s="78" t="s">
        <v>79</v>
      </c>
      <c r="C19" s="79">
        <v>84.7</v>
      </c>
      <c r="D19" s="79">
        <v>85.6</v>
      </c>
      <c r="E19" s="79">
        <v>89.2</v>
      </c>
      <c r="F19" s="80"/>
      <c r="Q19" s="211"/>
    </row>
    <row r="20" spans="1:17" ht="18.75" x14ac:dyDescent="0.25">
      <c r="A20" s="77">
        <v>13</v>
      </c>
      <c r="B20" s="78" t="s">
        <v>80</v>
      </c>
      <c r="C20" s="79">
        <v>87.3</v>
      </c>
      <c r="D20" s="79">
        <v>88.2</v>
      </c>
      <c r="E20" s="79">
        <v>91.8</v>
      </c>
      <c r="F20" s="80"/>
    </row>
    <row r="21" spans="1:17" ht="18.75" x14ac:dyDescent="0.25">
      <c r="A21" s="77">
        <v>14</v>
      </c>
      <c r="B21" s="78" t="s">
        <v>81</v>
      </c>
      <c r="C21" s="79">
        <v>83</v>
      </c>
      <c r="D21" s="79">
        <v>83.9</v>
      </c>
      <c r="E21" s="79">
        <v>87.5</v>
      </c>
      <c r="F21" s="80"/>
    </row>
    <row r="22" spans="1:17" ht="18.75" x14ac:dyDescent="0.25">
      <c r="A22" s="77">
        <v>15</v>
      </c>
      <c r="B22" s="78" t="s">
        <v>82</v>
      </c>
      <c r="C22" s="79">
        <v>82.3</v>
      </c>
      <c r="D22" s="79">
        <v>83.2</v>
      </c>
      <c r="E22" s="79">
        <v>86.8</v>
      </c>
      <c r="F22" s="80"/>
    </row>
    <row r="23" spans="1:17" ht="18.75" x14ac:dyDescent="0.25">
      <c r="A23" s="77">
        <v>16</v>
      </c>
      <c r="B23" s="78" t="s">
        <v>83</v>
      </c>
      <c r="C23" s="79">
        <v>89.5</v>
      </c>
      <c r="D23" s="79">
        <v>90.4</v>
      </c>
      <c r="E23" s="79">
        <v>94</v>
      </c>
      <c r="F23" s="80"/>
    </row>
    <row r="24" spans="1:17" ht="18.75" x14ac:dyDescent="0.25">
      <c r="A24" s="77">
        <v>17</v>
      </c>
      <c r="B24" s="78" t="s">
        <v>84</v>
      </c>
      <c r="C24" s="79">
        <v>90.8</v>
      </c>
      <c r="D24" s="79">
        <v>91.8</v>
      </c>
      <c r="E24" s="79">
        <v>95.3</v>
      </c>
      <c r="F24" s="80"/>
    </row>
    <row r="25" spans="1:17" ht="18.75" x14ac:dyDescent="0.25">
      <c r="A25" s="77">
        <v>18</v>
      </c>
      <c r="B25" s="78" t="s">
        <v>85</v>
      </c>
      <c r="C25" s="79">
        <v>88.2</v>
      </c>
      <c r="D25" s="79">
        <v>89.1</v>
      </c>
      <c r="E25" s="79">
        <v>92.6</v>
      </c>
      <c r="F25" s="80"/>
    </row>
    <row r="26" spans="1:17" ht="18.75" x14ac:dyDescent="0.25">
      <c r="A26" s="77">
        <v>19</v>
      </c>
      <c r="B26" s="78" t="s">
        <v>86</v>
      </c>
      <c r="C26" s="79">
        <v>85.7</v>
      </c>
      <c r="D26" s="79">
        <v>86.7</v>
      </c>
      <c r="E26" s="79">
        <v>90.2</v>
      </c>
      <c r="F26" s="80"/>
    </row>
    <row r="27" spans="1:17" ht="18.75" x14ac:dyDescent="0.25">
      <c r="A27" s="81" t="s">
        <v>58</v>
      </c>
      <c r="B27" s="82" t="s">
        <v>283</v>
      </c>
      <c r="C27" s="83">
        <f>SUM(C28:C34)</f>
        <v>717.8</v>
      </c>
      <c r="D27" s="83">
        <f>SUM(D28:D34)</f>
        <v>725.8</v>
      </c>
      <c r="E27" s="83">
        <f>SUM(E28:E34)</f>
        <v>756</v>
      </c>
      <c r="F27" s="80"/>
    </row>
    <row r="28" spans="1:17" ht="18.75" x14ac:dyDescent="0.25">
      <c r="A28" s="77">
        <v>20</v>
      </c>
      <c r="B28" s="78" t="s">
        <v>87</v>
      </c>
      <c r="C28" s="79">
        <v>226.4</v>
      </c>
      <c r="D28" s="79">
        <v>228.7</v>
      </c>
      <c r="E28" s="79">
        <v>237.6</v>
      </c>
      <c r="F28" s="80"/>
    </row>
    <row r="29" spans="1:17" ht="18.75" x14ac:dyDescent="0.25">
      <c r="A29" s="77">
        <v>21</v>
      </c>
      <c r="B29" s="78" t="s">
        <v>88</v>
      </c>
      <c r="C29" s="79">
        <v>81</v>
      </c>
      <c r="D29" s="79">
        <v>81.900000000000006</v>
      </c>
      <c r="E29" s="79">
        <v>85.5</v>
      </c>
      <c r="F29" s="80"/>
    </row>
    <row r="30" spans="1:17" ht="18.75" x14ac:dyDescent="0.25">
      <c r="A30" s="77">
        <v>22</v>
      </c>
      <c r="B30" s="78" t="s">
        <v>89</v>
      </c>
      <c r="C30" s="79">
        <v>79.7</v>
      </c>
      <c r="D30" s="79">
        <v>80.599999999999994</v>
      </c>
      <c r="E30" s="79">
        <v>84.2</v>
      </c>
      <c r="F30" s="80"/>
    </row>
    <row r="31" spans="1:17" ht="18.75" x14ac:dyDescent="0.25">
      <c r="A31" s="77">
        <v>23</v>
      </c>
      <c r="B31" s="78" t="s">
        <v>90</v>
      </c>
      <c r="C31" s="79">
        <v>81.900000000000006</v>
      </c>
      <c r="D31" s="79">
        <v>83</v>
      </c>
      <c r="E31" s="79">
        <v>86.4</v>
      </c>
      <c r="F31" s="80"/>
    </row>
    <row r="32" spans="1:17" ht="18.75" x14ac:dyDescent="0.25">
      <c r="A32" s="77">
        <v>24</v>
      </c>
      <c r="B32" s="78" t="s">
        <v>91</v>
      </c>
      <c r="C32" s="79">
        <v>81.400000000000006</v>
      </c>
      <c r="D32" s="79">
        <v>82.3</v>
      </c>
      <c r="E32" s="79">
        <v>85.9</v>
      </c>
      <c r="F32" s="80"/>
    </row>
    <row r="33" spans="1:6" ht="18.75" x14ac:dyDescent="0.25">
      <c r="A33" s="77">
        <v>25</v>
      </c>
      <c r="B33" s="78" t="s">
        <v>92</v>
      </c>
      <c r="C33" s="79">
        <v>84.9</v>
      </c>
      <c r="D33" s="79">
        <v>85.9</v>
      </c>
      <c r="E33" s="79">
        <v>89.4</v>
      </c>
      <c r="F33" s="80"/>
    </row>
    <row r="34" spans="1:6" ht="18.75" x14ac:dyDescent="0.25">
      <c r="A34" s="77">
        <v>26</v>
      </c>
      <c r="B34" s="78" t="s">
        <v>93</v>
      </c>
      <c r="C34" s="79">
        <v>82.5</v>
      </c>
      <c r="D34" s="79">
        <v>83.4</v>
      </c>
      <c r="E34" s="79">
        <v>87</v>
      </c>
      <c r="F34" s="80"/>
    </row>
    <row r="35" spans="1:6" ht="18.75" x14ac:dyDescent="0.25">
      <c r="A35" s="81" t="s">
        <v>58</v>
      </c>
      <c r="B35" s="82" t="s">
        <v>94</v>
      </c>
      <c r="C35" s="83">
        <f>SUM(C36:C45)</f>
        <v>1131.1999999999998</v>
      </c>
      <c r="D35" s="83">
        <f>SUM(D36:D45)</f>
        <v>1143.1000000000001</v>
      </c>
      <c r="E35" s="83">
        <f>SUM(E36:E45)</f>
        <v>1189.5</v>
      </c>
      <c r="F35" s="80"/>
    </row>
    <row r="36" spans="1:6" ht="18.75" x14ac:dyDescent="0.25">
      <c r="A36" s="77">
        <v>27</v>
      </c>
      <c r="B36" s="78" t="s">
        <v>284</v>
      </c>
      <c r="C36" s="79">
        <v>223.4</v>
      </c>
      <c r="D36" s="79">
        <v>225.7</v>
      </c>
      <c r="E36" s="79">
        <v>234.6</v>
      </c>
      <c r="F36" s="80"/>
    </row>
    <row r="37" spans="1:6" ht="18.75" x14ac:dyDescent="0.25">
      <c r="A37" s="77">
        <v>28</v>
      </c>
      <c r="B37" s="78" t="s">
        <v>97</v>
      </c>
      <c r="C37" s="79">
        <v>221.9</v>
      </c>
      <c r="D37" s="79">
        <v>224.2</v>
      </c>
      <c r="E37" s="79">
        <v>233.1</v>
      </c>
      <c r="F37" s="80"/>
    </row>
    <row r="38" spans="1:6" ht="18.75" x14ac:dyDescent="0.25">
      <c r="A38" s="77">
        <v>29</v>
      </c>
      <c r="B38" s="78" t="s">
        <v>98</v>
      </c>
      <c r="C38" s="79">
        <v>81.599999999999994</v>
      </c>
      <c r="D38" s="79">
        <v>82.5</v>
      </c>
      <c r="E38" s="79">
        <v>86.1</v>
      </c>
      <c r="F38" s="80"/>
    </row>
    <row r="39" spans="1:6" ht="18.75" x14ac:dyDescent="0.25">
      <c r="A39" s="77">
        <v>30</v>
      </c>
      <c r="B39" s="78" t="s">
        <v>99</v>
      </c>
      <c r="C39" s="79">
        <v>90.5</v>
      </c>
      <c r="D39" s="79">
        <v>91.5</v>
      </c>
      <c r="E39" s="79">
        <v>95</v>
      </c>
      <c r="F39" s="80"/>
    </row>
    <row r="40" spans="1:6" ht="18.75" x14ac:dyDescent="0.25">
      <c r="A40" s="77">
        <v>31</v>
      </c>
      <c r="B40" s="78" t="s">
        <v>100</v>
      </c>
      <c r="C40" s="79">
        <v>97.8</v>
      </c>
      <c r="D40" s="79">
        <v>98.7</v>
      </c>
      <c r="E40" s="79">
        <v>102.3</v>
      </c>
      <c r="F40" s="80"/>
    </row>
    <row r="41" spans="1:6" ht="18.75" x14ac:dyDescent="0.25">
      <c r="A41" s="77">
        <v>32</v>
      </c>
      <c r="B41" s="78" t="s">
        <v>101</v>
      </c>
      <c r="C41" s="79">
        <v>80.599999999999994</v>
      </c>
      <c r="D41" s="79">
        <v>81.5</v>
      </c>
      <c r="E41" s="79">
        <v>85.1</v>
      </c>
      <c r="F41" s="80"/>
    </row>
    <row r="42" spans="1:6" ht="18.75" x14ac:dyDescent="0.25">
      <c r="A42" s="77">
        <v>33</v>
      </c>
      <c r="B42" s="78" t="s">
        <v>102</v>
      </c>
      <c r="C42" s="79">
        <v>85.5</v>
      </c>
      <c r="D42" s="79">
        <v>86.4</v>
      </c>
      <c r="E42" s="79">
        <v>90</v>
      </c>
      <c r="F42" s="80"/>
    </row>
    <row r="43" spans="1:6" ht="18.75" x14ac:dyDescent="0.25">
      <c r="A43" s="77">
        <v>34</v>
      </c>
      <c r="B43" s="78" t="s">
        <v>103</v>
      </c>
      <c r="C43" s="79">
        <v>83.3</v>
      </c>
      <c r="D43" s="79">
        <v>84.2</v>
      </c>
      <c r="E43" s="79">
        <v>87.7</v>
      </c>
      <c r="F43" s="80"/>
    </row>
    <row r="44" spans="1:6" ht="18.75" x14ac:dyDescent="0.25">
      <c r="A44" s="77">
        <v>35</v>
      </c>
      <c r="B44" s="78" t="s">
        <v>104</v>
      </c>
      <c r="C44" s="79">
        <v>86.6</v>
      </c>
      <c r="D44" s="79">
        <v>87.5</v>
      </c>
      <c r="E44" s="79">
        <v>91.1</v>
      </c>
      <c r="F44" s="80"/>
    </row>
    <row r="45" spans="1:6" ht="18.75" x14ac:dyDescent="0.25">
      <c r="A45" s="77">
        <v>36</v>
      </c>
      <c r="B45" s="78" t="s">
        <v>105</v>
      </c>
      <c r="C45" s="79">
        <v>80</v>
      </c>
      <c r="D45" s="79">
        <v>80.900000000000006</v>
      </c>
      <c r="E45" s="79">
        <v>84.5</v>
      </c>
      <c r="F45" s="80"/>
    </row>
    <row r="46" spans="1:6" ht="18.75" x14ac:dyDescent="0.25">
      <c r="A46" s="81" t="s">
        <v>58</v>
      </c>
      <c r="B46" s="82" t="s">
        <v>106</v>
      </c>
      <c r="C46" s="83">
        <f>SUM(C47:C50)</f>
        <v>491.59999999999997</v>
      </c>
      <c r="D46" s="83">
        <f>SUM(D47:D50)</f>
        <v>496.6</v>
      </c>
      <c r="E46" s="83">
        <f>SUM(E47:E50)</f>
        <v>516.30000000000007</v>
      </c>
      <c r="F46" s="80"/>
    </row>
    <row r="47" spans="1:6" ht="18.75" x14ac:dyDescent="0.25">
      <c r="A47" s="77">
        <v>37</v>
      </c>
      <c r="B47" s="78" t="s">
        <v>107</v>
      </c>
      <c r="C47" s="79">
        <v>242.4</v>
      </c>
      <c r="D47" s="79">
        <v>244.7</v>
      </c>
      <c r="E47" s="79">
        <v>253.6</v>
      </c>
      <c r="F47" s="80"/>
    </row>
    <row r="48" spans="1:6" ht="18.75" x14ac:dyDescent="0.25">
      <c r="A48" s="77">
        <v>38</v>
      </c>
      <c r="B48" s="78" t="s">
        <v>108</v>
      </c>
      <c r="C48" s="79">
        <v>79.900000000000006</v>
      </c>
      <c r="D48" s="79">
        <v>80.8</v>
      </c>
      <c r="E48" s="79">
        <v>84.4</v>
      </c>
      <c r="F48" s="80"/>
    </row>
    <row r="49" spans="1:6" ht="18.75" x14ac:dyDescent="0.25">
      <c r="A49" s="77">
        <v>39</v>
      </c>
      <c r="B49" s="78" t="s">
        <v>109</v>
      </c>
      <c r="C49" s="79">
        <v>84.6</v>
      </c>
      <c r="D49" s="79">
        <v>85.5</v>
      </c>
      <c r="E49" s="79">
        <v>89.1</v>
      </c>
      <c r="F49" s="80"/>
    </row>
    <row r="50" spans="1:6" ht="18.75" x14ac:dyDescent="0.25">
      <c r="A50" s="77">
        <v>40</v>
      </c>
      <c r="B50" s="78" t="s">
        <v>110</v>
      </c>
      <c r="C50" s="79">
        <v>84.7</v>
      </c>
      <c r="D50" s="79">
        <v>85.6</v>
      </c>
      <c r="E50" s="79">
        <v>89.2</v>
      </c>
      <c r="F50" s="80"/>
    </row>
    <row r="51" spans="1:6" ht="18.75" x14ac:dyDescent="0.25">
      <c r="A51" s="81" t="s">
        <v>58</v>
      </c>
      <c r="B51" s="82" t="s">
        <v>111</v>
      </c>
      <c r="C51" s="83">
        <f>SUM(C52:C59)</f>
        <v>1281</v>
      </c>
      <c r="D51" s="83">
        <f>SUM(D52:D59)</f>
        <v>1294</v>
      </c>
      <c r="E51" s="83">
        <f>SUM(E52:E59)</f>
        <v>1343.8</v>
      </c>
      <c r="F51" s="80"/>
    </row>
    <row r="52" spans="1:6" ht="18.75" x14ac:dyDescent="0.25">
      <c r="A52" s="77">
        <v>41</v>
      </c>
      <c r="B52" s="78" t="s">
        <v>112</v>
      </c>
      <c r="C52" s="79">
        <v>271.5</v>
      </c>
      <c r="D52" s="79">
        <v>273.8</v>
      </c>
      <c r="E52" s="79">
        <v>282.7</v>
      </c>
      <c r="F52" s="80"/>
    </row>
    <row r="53" spans="1:6" ht="18.75" x14ac:dyDescent="0.25">
      <c r="A53" s="77">
        <v>42</v>
      </c>
      <c r="B53" s="78" t="s">
        <v>113</v>
      </c>
      <c r="C53" s="79">
        <v>220.3</v>
      </c>
      <c r="D53" s="79">
        <v>222.6</v>
      </c>
      <c r="E53" s="79">
        <v>231.5</v>
      </c>
      <c r="F53" s="80"/>
    </row>
    <row r="54" spans="1:6" ht="18.75" x14ac:dyDescent="0.25">
      <c r="A54" s="77">
        <v>43</v>
      </c>
      <c r="B54" s="78" t="s">
        <v>114</v>
      </c>
      <c r="C54" s="79">
        <v>85</v>
      </c>
      <c r="D54" s="79">
        <v>85.9</v>
      </c>
      <c r="E54" s="79">
        <v>89.5</v>
      </c>
      <c r="F54" s="80"/>
    </row>
    <row r="55" spans="1:6" ht="18.75" x14ac:dyDescent="0.25">
      <c r="A55" s="77">
        <v>44</v>
      </c>
      <c r="B55" s="78" t="s">
        <v>115</v>
      </c>
      <c r="C55" s="79">
        <v>220.4</v>
      </c>
      <c r="D55" s="79">
        <v>222.7</v>
      </c>
      <c r="E55" s="79">
        <v>231.6</v>
      </c>
      <c r="F55" s="80"/>
    </row>
    <row r="56" spans="1:6" ht="18.75" x14ac:dyDescent="0.25">
      <c r="A56" s="77">
        <v>45</v>
      </c>
      <c r="B56" s="78" t="s">
        <v>116</v>
      </c>
      <c r="C56" s="79">
        <v>90.8</v>
      </c>
      <c r="D56" s="79">
        <v>91.8</v>
      </c>
      <c r="E56" s="79">
        <v>95.3</v>
      </c>
      <c r="F56" s="80"/>
    </row>
    <row r="57" spans="1:6" ht="18.75" x14ac:dyDescent="0.25">
      <c r="A57" s="77">
        <v>46</v>
      </c>
      <c r="B57" s="78" t="s">
        <v>117</v>
      </c>
      <c r="C57" s="79">
        <v>223.3</v>
      </c>
      <c r="D57" s="79">
        <v>225.6</v>
      </c>
      <c r="E57" s="79">
        <v>234.5</v>
      </c>
      <c r="F57" s="80"/>
    </row>
    <row r="58" spans="1:6" ht="18.75" x14ac:dyDescent="0.25">
      <c r="A58" s="77">
        <v>47</v>
      </c>
      <c r="B58" s="78" t="s">
        <v>118</v>
      </c>
      <c r="C58" s="79">
        <v>85.2</v>
      </c>
      <c r="D58" s="79">
        <v>86.2</v>
      </c>
      <c r="E58" s="79">
        <v>89.7</v>
      </c>
      <c r="F58" s="80"/>
    </row>
    <row r="59" spans="1:6" ht="18.75" x14ac:dyDescent="0.25">
      <c r="A59" s="77">
        <v>48</v>
      </c>
      <c r="B59" s="78" t="s">
        <v>119</v>
      </c>
      <c r="C59" s="79">
        <v>84.5</v>
      </c>
      <c r="D59" s="79">
        <v>85.4</v>
      </c>
      <c r="E59" s="79">
        <v>89</v>
      </c>
      <c r="F59" s="80"/>
    </row>
    <row r="60" spans="1:6" ht="18.75" x14ac:dyDescent="0.25">
      <c r="A60" s="81" t="s">
        <v>58</v>
      </c>
      <c r="B60" s="82" t="s">
        <v>120</v>
      </c>
      <c r="C60" s="83">
        <f>SUM(C61:C78)</f>
        <v>3916.7000000000003</v>
      </c>
      <c r="D60" s="83">
        <f>SUM(D61:D78)</f>
        <v>3955.3</v>
      </c>
      <c r="E60" s="83">
        <f>SUM(E61:E78)</f>
        <v>4104.7</v>
      </c>
      <c r="F60" s="80"/>
    </row>
    <row r="61" spans="1:6" ht="37.5" x14ac:dyDescent="0.25">
      <c r="A61" s="77">
        <v>49</v>
      </c>
      <c r="B61" s="78" t="s">
        <v>121</v>
      </c>
      <c r="C61" s="79">
        <v>220.2</v>
      </c>
      <c r="D61" s="79">
        <v>222.5</v>
      </c>
      <c r="E61" s="79">
        <v>231.3</v>
      </c>
      <c r="F61" s="80"/>
    </row>
    <row r="62" spans="1:6" ht="18.75" x14ac:dyDescent="0.25">
      <c r="A62" s="77">
        <v>50</v>
      </c>
      <c r="B62" s="78" t="s">
        <v>122</v>
      </c>
      <c r="C62" s="79">
        <v>220.5</v>
      </c>
      <c r="D62" s="79">
        <v>222.8</v>
      </c>
      <c r="E62" s="79">
        <v>231.7</v>
      </c>
      <c r="F62" s="80"/>
    </row>
    <row r="63" spans="1:6" ht="18.75" x14ac:dyDescent="0.25">
      <c r="A63" s="77">
        <v>51</v>
      </c>
      <c r="B63" s="78" t="s">
        <v>123</v>
      </c>
      <c r="C63" s="79">
        <v>83.6</v>
      </c>
      <c r="D63" s="79">
        <v>84.5</v>
      </c>
      <c r="E63" s="79">
        <v>88</v>
      </c>
      <c r="F63" s="80"/>
    </row>
    <row r="64" spans="1:6" ht="18.75" x14ac:dyDescent="0.25">
      <c r="A64" s="77">
        <v>52</v>
      </c>
      <c r="B64" s="78" t="s">
        <v>124</v>
      </c>
      <c r="C64" s="79">
        <v>221</v>
      </c>
      <c r="D64" s="79">
        <v>223.3</v>
      </c>
      <c r="E64" s="79">
        <v>232.2</v>
      </c>
      <c r="F64" s="80"/>
    </row>
    <row r="65" spans="1:6" ht="18.75" x14ac:dyDescent="0.25">
      <c r="A65" s="77">
        <v>53</v>
      </c>
      <c r="B65" s="78" t="s">
        <v>125</v>
      </c>
      <c r="C65" s="79">
        <v>254.1</v>
      </c>
      <c r="D65" s="79">
        <v>256.39999999999998</v>
      </c>
      <c r="E65" s="79">
        <v>265.3</v>
      </c>
      <c r="F65" s="80"/>
    </row>
    <row r="66" spans="1:6" ht="18.75" x14ac:dyDescent="0.25">
      <c r="A66" s="77">
        <v>54</v>
      </c>
      <c r="B66" s="78" t="s">
        <v>126</v>
      </c>
      <c r="C66" s="79">
        <v>249.7</v>
      </c>
      <c r="D66" s="79">
        <v>252</v>
      </c>
      <c r="E66" s="79">
        <v>260.89999999999998</v>
      </c>
      <c r="F66" s="80"/>
    </row>
    <row r="67" spans="1:6" ht="18.75" x14ac:dyDescent="0.25">
      <c r="A67" s="77">
        <v>55</v>
      </c>
      <c r="B67" s="78" t="s">
        <v>127</v>
      </c>
      <c r="C67" s="79">
        <v>251.1</v>
      </c>
      <c r="D67" s="79">
        <v>253.4</v>
      </c>
      <c r="E67" s="79">
        <v>262.3</v>
      </c>
      <c r="F67" s="80"/>
    </row>
    <row r="68" spans="1:6" ht="18.75" x14ac:dyDescent="0.25">
      <c r="A68" s="77">
        <v>56</v>
      </c>
      <c r="B68" s="78" t="s">
        <v>128</v>
      </c>
      <c r="C68" s="79">
        <v>232.3</v>
      </c>
      <c r="D68" s="79">
        <v>234.6</v>
      </c>
      <c r="E68" s="79">
        <v>243.5</v>
      </c>
      <c r="F68" s="80"/>
    </row>
    <row r="69" spans="1:6" ht="18.75" x14ac:dyDescent="0.25">
      <c r="A69" s="77">
        <v>57</v>
      </c>
      <c r="B69" s="78" t="s">
        <v>129</v>
      </c>
      <c r="C69" s="79">
        <v>221.1</v>
      </c>
      <c r="D69" s="79">
        <v>223.4</v>
      </c>
      <c r="E69" s="79">
        <v>232.3</v>
      </c>
      <c r="F69" s="80"/>
    </row>
    <row r="70" spans="1:6" ht="18.75" x14ac:dyDescent="0.25">
      <c r="A70" s="77">
        <v>58</v>
      </c>
      <c r="B70" s="78" t="s">
        <v>130</v>
      </c>
      <c r="C70" s="79">
        <v>220.5</v>
      </c>
      <c r="D70" s="79">
        <v>222.8</v>
      </c>
      <c r="E70" s="79">
        <v>231.7</v>
      </c>
      <c r="F70" s="80"/>
    </row>
    <row r="71" spans="1:6" ht="18.75" x14ac:dyDescent="0.25">
      <c r="A71" s="77">
        <v>59</v>
      </c>
      <c r="B71" s="78" t="s">
        <v>131</v>
      </c>
      <c r="C71" s="79">
        <v>257.5</v>
      </c>
      <c r="D71" s="79">
        <v>259.8</v>
      </c>
      <c r="E71" s="79">
        <v>268.7</v>
      </c>
      <c r="F71" s="80"/>
    </row>
    <row r="72" spans="1:6" ht="18.75" x14ac:dyDescent="0.25">
      <c r="A72" s="77">
        <v>60</v>
      </c>
      <c r="B72" s="78" t="s">
        <v>132</v>
      </c>
      <c r="C72" s="79">
        <v>228.8</v>
      </c>
      <c r="D72" s="79">
        <v>231.1</v>
      </c>
      <c r="E72" s="79">
        <v>240</v>
      </c>
      <c r="F72" s="80"/>
    </row>
    <row r="73" spans="1:6" ht="18.75" x14ac:dyDescent="0.25">
      <c r="A73" s="77">
        <v>61</v>
      </c>
      <c r="B73" s="78" t="s">
        <v>133</v>
      </c>
      <c r="C73" s="79">
        <v>245.9</v>
      </c>
      <c r="D73" s="79">
        <v>248.2</v>
      </c>
      <c r="E73" s="79">
        <v>257.10000000000002</v>
      </c>
      <c r="F73" s="80"/>
    </row>
    <row r="74" spans="1:6" ht="18.75" x14ac:dyDescent="0.25">
      <c r="A74" s="77">
        <v>62</v>
      </c>
      <c r="B74" s="78" t="s">
        <v>134</v>
      </c>
      <c r="C74" s="79">
        <v>95.9</v>
      </c>
      <c r="D74" s="79">
        <v>96.8</v>
      </c>
      <c r="E74" s="79">
        <v>100.4</v>
      </c>
      <c r="F74" s="80"/>
    </row>
    <row r="75" spans="1:6" ht="18.75" x14ac:dyDescent="0.25">
      <c r="A75" s="77">
        <v>63</v>
      </c>
      <c r="B75" s="78" t="s">
        <v>135</v>
      </c>
      <c r="C75" s="79">
        <v>220.3</v>
      </c>
      <c r="D75" s="79">
        <v>222.6</v>
      </c>
      <c r="E75" s="79">
        <v>231.5</v>
      </c>
      <c r="F75" s="80"/>
    </row>
    <row r="76" spans="1:6" ht="18.75" x14ac:dyDescent="0.25">
      <c r="A76" s="77">
        <v>64</v>
      </c>
      <c r="B76" s="78" t="s">
        <v>136</v>
      </c>
      <c r="C76" s="79">
        <v>220.4</v>
      </c>
      <c r="D76" s="79">
        <v>222.7</v>
      </c>
      <c r="E76" s="79">
        <v>231.6</v>
      </c>
      <c r="F76" s="80"/>
    </row>
    <row r="77" spans="1:6" ht="18.75" x14ac:dyDescent="0.25">
      <c r="A77" s="77">
        <v>65</v>
      </c>
      <c r="B77" s="78" t="s">
        <v>137</v>
      </c>
      <c r="C77" s="79">
        <v>222.8</v>
      </c>
      <c r="D77" s="79">
        <v>225.1</v>
      </c>
      <c r="E77" s="79">
        <v>234</v>
      </c>
      <c r="F77" s="80"/>
    </row>
    <row r="78" spans="1:6" ht="18.75" x14ac:dyDescent="0.25">
      <c r="A78" s="77">
        <v>66</v>
      </c>
      <c r="B78" s="78" t="s">
        <v>138</v>
      </c>
      <c r="C78" s="79">
        <v>251</v>
      </c>
      <c r="D78" s="79">
        <v>253.3</v>
      </c>
      <c r="E78" s="79">
        <v>262.2</v>
      </c>
      <c r="F78" s="80"/>
    </row>
    <row r="79" spans="1:6" ht="18.75" x14ac:dyDescent="0.25">
      <c r="A79" s="81" t="s">
        <v>58</v>
      </c>
      <c r="B79" s="82" t="s">
        <v>139</v>
      </c>
      <c r="C79" s="83">
        <f>SUM(C80:C84)</f>
        <v>1245.4000000000001</v>
      </c>
      <c r="D79" s="83">
        <f>SUM(D80:D84)</f>
        <v>1257.3999999999999</v>
      </c>
      <c r="E79" s="83">
        <f>SUM(E80:E84)</f>
        <v>1303.7</v>
      </c>
      <c r="F79" s="80"/>
    </row>
    <row r="80" spans="1:6" ht="18.75" x14ac:dyDescent="0.25">
      <c r="A80" s="77">
        <v>67</v>
      </c>
      <c r="B80" s="78" t="s">
        <v>140</v>
      </c>
      <c r="C80" s="79">
        <v>736.5</v>
      </c>
      <c r="D80" s="79">
        <v>743.4</v>
      </c>
      <c r="E80" s="79">
        <v>770.1</v>
      </c>
      <c r="F80" s="80"/>
    </row>
    <row r="81" spans="1:6" ht="18.75" x14ac:dyDescent="0.25">
      <c r="A81" s="77">
        <v>68</v>
      </c>
      <c r="B81" s="78" t="s">
        <v>141</v>
      </c>
      <c r="C81" s="79">
        <v>99.1</v>
      </c>
      <c r="D81" s="79">
        <v>100</v>
      </c>
      <c r="E81" s="79">
        <v>103.6</v>
      </c>
      <c r="F81" s="80"/>
    </row>
    <row r="82" spans="1:6" ht="18.75" x14ac:dyDescent="0.25">
      <c r="A82" s="77">
        <v>69</v>
      </c>
      <c r="B82" s="78" t="s">
        <v>142</v>
      </c>
      <c r="C82" s="79">
        <v>222.3</v>
      </c>
      <c r="D82" s="79">
        <v>224.6</v>
      </c>
      <c r="E82" s="79">
        <v>233.5</v>
      </c>
      <c r="F82" s="80"/>
    </row>
    <row r="83" spans="1:6" ht="18.75" x14ac:dyDescent="0.25">
      <c r="A83" s="77">
        <v>70</v>
      </c>
      <c r="B83" s="78" t="s">
        <v>143</v>
      </c>
      <c r="C83" s="79">
        <v>87.2</v>
      </c>
      <c r="D83" s="79">
        <v>88.1</v>
      </c>
      <c r="E83" s="79">
        <v>91.7</v>
      </c>
      <c r="F83" s="80"/>
    </row>
    <row r="84" spans="1:6" ht="18.75" x14ac:dyDescent="0.25">
      <c r="A84" s="77">
        <v>71</v>
      </c>
      <c r="B84" s="78" t="s">
        <v>144</v>
      </c>
      <c r="C84" s="79">
        <v>100.3</v>
      </c>
      <c r="D84" s="79">
        <v>101.3</v>
      </c>
      <c r="E84" s="79">
        <v>104.8</v>
      </c>
      <c r="F84" s="80"/>
    </row>
    <row r="85" spans="1:6" ht="18.75" x14ac:dyDescent="0.25">
      <c r="A85" s="81" t="s">
        <v>58</v>
      </c>
      <c r="B85" s="82" t="s">
        <v>145</v>
      </c>
      <c r="C85" s="83">
        <f>SUM(C86:C92)</f>
        <v>750.5</v>
      </c>
      <c r="D85" s="83">
        <f>SUM(D86:D92)</f>
        <v>758.4</v>
      </c>
      <c r="E85" s="83">
        <f>SUM(E86:E92)</f>
        <v>788.69999999999993</v>
      </c>
      <c r="F85" s="80"/>
    </row>
    <row r="86" spans="1:6" ht="18.75" x14ac:dyDescent="0.25">
      <c r="A86" s="77">
        <v>72</v>
      </c>
      <c r="B86" s="78" t="s">
        <v>146</v>
      </c>
      <c r="C86" s="79">
        <v>241</v>
      </c>
      <c r="D86" s="79">
        <v>243.3</v>
      </c>
      <c r="E86" s="79">
        <v>252.2</v>
      </c>
      <c r="F86" s="80"/>
    </row>
    <row r="87" spans="1:6" ht="18.75" x14ac:dyDescent="0.25">
      <c r="A87" s="77">
        <v>73</v>
      </c>
      <c r="B87" s="78" t="s">
        <v>147</v>
      </c>
      <c r="C87" s="79">
        <v>84.6</v>
      </c>
      <c r="D87" s="79">
        <v>85.5</v>
      </c>
      <c r="E87" s="79">
        <v>89.1</v>
      </c>
      <c r="F87" s="80"/>
    </row>
    <row r="88" spans="1:6" ht="18.75" x14ac:dyDescent="0.25">
      <c r="A88" s="77">
        <v>74</v>
      </c>
      <c r="B88" s="78" t="s">
        <v>148</v>
      </c>
      <c r="C88" s="79">
        <v>86.7</v>
      </c>
      <c r="D88" s="79">
        <v>87.7</v>
      </c>
      <c r="E88" s="79">
        <v>91.2</v>
      </c>
      <c r="F88" s="80"/>
    </row>
    <row r="89" spans="1:6" ht="18.75" x14ac:dyDescent="0.25">
      <c r="A89" s="77">
        <v>75</v>
      </c>
      <c r="B89" s="78" t="s">
        <v>149</v>
      </c>
      <c r="C89" s="79">
        <v>83.7</v>
      </c>
      <c r="D89" s="79">
        <v>84.6</v>
      </c>
      <c r="E89" s="79">
        <v>88.2</v>
      </c>
      <c r="F89" s="80"/>
    </row>
    <row r="90" spans="1:6" ht="18.75" x14ac:dyDescent="0.25">
      <c r="A90" s="77">
        <v>76</v>
      </c>
      <c r="B90" s="78" t="s">
        <v>150</v>
      </c>
      <c r="C90" s="79">
        <v>86.4</v>
      </c>
      <c r="D90" s="79">
        <v>87.3</v>
      </c>
      <c r="E90" s="79">
        <v>90.9</v>
      </c>
      <c r="F90" s="80"/>
    </row>
    <row r="91" spans="1:6" ht="18.75" x14ac:dyDescent="0.25">
      <c r="A91" s="77">
        <v>77</v>
      </c>
      <c r="B91" s="78" t="s">
        <v>151</v>
      </c>
      <c r="C91" s="79">
        <v>85</v>
      </c>
      <c r="D91" s="79">
        <v>86</v>
      </c>
      <c r="E91" s="79">
        <v>89.5</v>
      </c>
      <c r="F91" s="80"/>
    </row>
    <row r="92" spans="1:6" ht="18.75" x14ac:dyDescent="0.25">
      <c r="A92" s="77">
        <v>78</v>
      </c>
      <c r="B92" s="78" t="s">
        <v>152</v>
      </c>
      <c r="C92" s="79">
        <v>83.1</v>
      </c>
      <c r="D92" s="79">
        <v>84</v>
      </c>
      <c r="E92" s="79">
        <v>87.6</v>
      </c>
      <c r="F92" s="80"/>
    </row>
    <row r="93" spans="1:6" ht="18.75" x14ac:dyDescent="0.25">
      <c r="A93" s="81" t="s">
        <v>58</v>
      </c>
      <c r="B93" s="82" t="s">
        <v>285</v>
      </c>
      <c r="C93" s="83">
        <f>SUM(C94:C107)</f>
        <v>1352.3</v>
      </c>
      <c r="D93" s="83">
        <f>SUM(D94:D107)</f>
        <v>1366.7</v>
      </c>
      <c r="E93" s="83">
        <f>SUM(E94:E107)</f>
        <v>1421.9</v>
      </c>
      <c r="F93" s="80"/>
    </row>
    <row r="94" spans="1:6" ht="18.75" x14ac:dyDescent="0.25">
      <c r="A94" s="77">
        <v>79</v>
      </c>
      <c r="B94" s="78" t="s">
        <v>153</v>
      </c>
      <c r="C94" s="79">
        <v>220.5</v>
      </c>
      <c r="D94" s="79">
        <v>222.8</v>
      </c>
      <c r="E94" s="79">
        <v>231.7</v>
      </c>
      <c r="F94" s="80"/>
    </row>
    <row r="95" spans="1:6" ht="18.75" x14ac:dyDescent="0.25">
      <c r="A95" s="77">
        <v>80</v>
      </c>
      <c r="B95" s="78" t="s">
        <v>154</v>
      </c>
      <c r="C95" s="79">
        <v>81.900000000000006</v>
      </c>
      <c r="D95" s="79">
        <v>82.9</v>
      </c>
      <c r="E95" s="79">
        <v>86.4</v>
      </c>
      <c r="F95" s="80"/>
    </row>
    <row r="96" spans="1:6" ht="18.75" x14ac:dyDescent="0.25">
      <c r="A96" s="77">
        <v>81</v>
      </c>
      <c r="B96" s="78" t="s">
        <v>155</v>
      </c>
      <c r="C96" s="79">
        <v>95</v>
      </c>
      <c r="D96" s="79">
        <v>96</v>
      </c>
      <c r="E96" s="79">
        <v>99.5</v>
      </c>
      <c r="F96" s="80"/>
    </row>
    <row r="97" spans="1:6" ht="18.75" x14ac:dyDescent="0.25">
      <c r="A97" s="77">
        <v>82</v>
      </c>
      <c r="B97" s="78" t="s">
        <v>156</v>
      </c>
      <c r="C97" s="79">
        <v>95</v>
      </c>
      <c r="D97" s="79">
        <v>95.9</v>
      </c>
      <c r="E97" s="79">
        <v>99.5</v>
      </c>
      <c r="F97" s="80"/>
    </row>
    <row r="98" spans="1:6" ht="18.75" x14ac:dyDescent="0.25">
      <c r="A98" s="77">
        <v>83</v>
      </c>
      <c r="B98" s="78" t="s">
        <v>157</v>
      </c>
      <c r="C98" s="79">
        <v>81.7</v>
      </c>
      <c r="D98" s="79">
        <v>82.6</v>
      </c>
      <c r="E98" s="79">
        <v>86.2</v>
      </c>
      <c r="F98" s="80"/>
    </row>
    <row r="99" spans="1:6" ht="18.75" x14ac:dyDescent="0.25">
      <c r="A99" s="77">
        <v>84</v>
      </c>
      <c r="B99" s="78" t="s">
        <v>158</v>
      </c>
      <c r="C99" s="79">
        <v>88.5</v>
      </c>
      <c r="D99" s="79">
        <v>89.4</v>
      </c>
      <c r="E99" s="79">
        <v>93</v>
      </c>
      <c r="F99" s="80"/>
    </row>
    <row r="100" spans="1:6" ht="18.75" x14ac:dyDescent="0.25">
      <c r="A100" s="77">
        <v>85</v>
      </c>
      <c r="B100" s="78" t="s">
        <v>159</v>
      </c>
      <c r="C100" s="79">
        <v>81.599999999999994</v>
      </c>
      <c r="D100" s="79">
        <v>82.5</v>
      </c>
      <c r="E100" s="79">
        <v>86.1</v>
      </c>
      <c r="F100" s="80"/>
    </row>
    <row r="101" spans="1:6" ht="18.75" x14ac:dyDescent="0.25">
      <c r="A101" s="77">
        <v>86</v>
      </c>
      <c r="B101" s="78" t="s">
        <v>160</v>
      </c>
      <c r="C101" s="79">
        <v>84.9</v>
      </c>
      <c r="D101" s="79">
        <v>85.9</v>
      </c>
      <c r="E101" s="79">
        <v>89.4</v>
      </c>
      <c r="F101" s="80"/>
    </row>
    <row r="102" spans="1:6" ht="18.75" x14ac:dyDescent="0.25">
      <c r="A102" s="77">
        <v>87</v>
      </c>
      <c r="B102" s="78" t="s">
        <v>161</v>
      </c>
      <c r="C102" s="79">
        <v>88.4</v>
      </c>
      <c r="D102" s="79">
        <v>89.3</v>
      </c>
      <c r="E102" s="79">
        <v>92.9</v>
      </c>
      <c r="F102" s="80"/>
    </row>
    <row r="103" spans="1:6" ht="18.75" x14ac:dyDescent="0.25">
      <c r="A103" s="77">
        <v>88</v>
      </c>
      <c r="B103" s="78" t="s">
        <v>162</v>
      </c>
      <c r="C103" s="79">
        <v>78.5</v>
      </c>
      <c r="D103" s="79">
        <v>79.400000000000006</v>
      </c>
      <c r="E103" s="79">
        <v>82.9</v>
      </c>
      <c r="F103" s="80"/>
    </row>
    <row r="104" spans="1:6" ht="18.75" x14ac:dyDescent="0.25">
      <c r="A104" s="77">
        <v>89</v>
      </c>
      <c r="B104" s="78" t="s">
        <v>163</v>
      </c>
      <c r="C104" s="79">
        <v>89.8</v>
      </c>
      <c r="D104" s="79">
        <v>90.8</v>
      </c>
      <c r="E104" s="79">
        <v>94.3</v>
      </c>
      <c r="F104" s="80"/>
    </row>
    <row r="105" spans="1:6" ht="18.75" x14ac:dyDescent="0.25">
      <c r="A105" s="77">
        <v>90</v>
      </c>
      <c r="B105" s="78" t="s">
        <v>164</v>
      </c>
      <c r="C105" s="79">
        <v>81.5</v>
      </c>
      <c r="D105" s="79">
        <v>82.4</v>
      </c>
      <c r="E105" s="79">
        <v>86</v>
      </c>
      <c r="F105" s="80"/>
    </row>
    <row r="106" spans="1:6" ht="18.75" x14ac:dyDescent="0.25">
      <c r="A106" s="77">
        <v>91</v>
      </c>
      <c r="B106" s="78" t="s">
        <v>165</v>
      </c>
      <c r="C106" s="79">
        <v>85.9</v>
      </c>
      <c r="D106" s="79">
        <v>86.8</v>
      </c>
      <c r="E106" s="79">
        <v>90.4</v>
      </c>
      <c r="F106" s="80"/>
    </row>
    <row r="107" spans="1:6" ht="18.75" x14ac:dyDescent="0.25">
      <c r="A107" s="77">
        <v>92</v>
      </c>
      <c r="B107" s="78" t="s">
        <v>166</v>
      </c>
      <c r="C107" s="79">
        <v>99.1</v>
      </c>
      <c r="D107" s="79">
        <v>100</v>
      </c>
      <c r="E107" s="79">
        <v>103.6</v>
      </c>
      <c r="F107" s="80"/>
    </row>
    <row r="108" spans="1:6" ht="18.75" x14ac:dyDescent="0.25">
      <c r="A108" s="81" t="s">
        <v>58</v>
      </c>
      <c r="B108" s="82" t="s">
        <v>167</v>
      </c>
      <c r="C108" s="83">
        <f>SUM(C109:C123)</f>
        <v>2944.3999999999996</v>
      </c>
      <c r="D108" s="83">
        <f>SUM(D109:D123)</f>
        <v>2973</v>
      </c>
      <c r="E108" s="83">
        <f>SUM(E109:E123)</f>
        <v>3083.1999999999994</v>
      </c>
      <c r="F108" s="80"/>
    </row>
    <row r="109" spans="1:6" ht="18.75" x14ac:dyDescent="0.25">
      <c r="A109" s="77">
        <v>93</v>
      </c>
      <c r="B109" s="78" t="s">
        <v>169</v>
      </c>
      <c r="C109" s="79">
        <v>236.3</v>
      </c>
      <c r="D109" s="79">
        <v>238.6</v>
      </c>
      <c r="E109" s="79">
        <v>247.5</v>
      </c>
      <c r="F109" s="80"/>
    </row>
    <row r="110" spans="1:6" ht="18.75" x14ac:dyDescent="0.25">
      <c r="A110" s="77">
        <v>94</v>
      </c>
      <c r="B110" s="78" t="s">
        <v>170</v>
      </c>
      <c r="C110" s="79">
        <v>224.6</v>
      </c>
      <c r="D110" s="79">
        <v>226.9</v>
      </c>
      <c r="E110" s="79">
        <v>235.8</v>
      </c>
      <c r="F110" s="80"/>
    </row>
    <row r="111" spans="1:6" ht="18.75" x14ac:dyDescent="0.25">
      <c r="A111" s="77">
        <v>95</v>
      </c>
      <c r="B111" s="78" t="s">
        <v>171</v>
      </c>
      <c r="C111" s="79">
        <v>288.10000000000002</v>
      </c>
      <c r="D111" s="79">
        <v>290.39999999999998</v>
      </c>
      <c r="E111" s="79">
        <v>299.3</v>
      </c>
      <c r="F111" s="80"/>
    </row>
    <row r="112" spans="1:6" ht="18.75" x14ac:dyDescent="0.25">
      <c r="A112" s="77">
        <v>96</v>
      </c>
      <c r="B112" s="78" t="s">
        <v>172</v>
      </c>
      <c r="C112" s="79">
        <v>91.9</v>
      </c>
      <c r="D112" s="79">
        <v>92.8</v>
      </c>
      <c r="E112" s="79">
        <v>96.4</v>
      </c>
      <c r="F112" s="80"/>
    </row>
    <row r="113" spans="1:6" ht="18.75" x14ac:dyDescent="0.25">
      <c r="A113" s="77">
        <v>97</v>
      </c>
      <c r="B113" s="78" t="s">
        <v>173</v>
      </c>
      <c r="C113" s="79">
        <v>538.6</v>
      </c>
      <c r="D113" s="79">
        <v>543.20000000000005</v>
      </c>
      <c r="E113" s="79">
        <v>561</v>
      </c>
      <c r="F113" s="80"/>
    </row>
    <row r="114" spans="1:6" ht="18.75" x14ac:dyDescent="0.25">
      <c r="A114" s="77">
        <v>98</v>
      </c>
      <c r="B114" s="78" t="s">
        <v>174</v>
      </c>
      <c r="C114" s="79">
        <v>220.5</v>
      </c>
      <c r="D114" s="79">
        <v>222.8</v>
      </c>
      <c r="E114" s="79">
        <v>231.6</v>
      </c>
      <c r="F114" s="80"/>
    </row>
    <row r="115" spans="1:6" ht="18.75" x14ac:dyDescent="0.25">
      <c r="A115" s="77">
        <v>99</v>
      </c>
      <c r="B115" s="78" t="s">
        <v>175</v>
      </c>
      <c r="C115" s="79">
        <v>221.4</v>
      </c>
      <c r="D115" s="79">
        <v>223.7</v>
      </c>
      <c r="E115" s="79">
        <v>232.6</v>
      </c>
      <c r="F115" s="80"/>
    </row>
    <row r="116" spans="1:6" ht="18.75" x14ac:dyDescent="0.25">
      <c r="A116" s="77">
        <v>100</v>
      </c>
      <c r="B116" s="78" t="s">
        <v>176</v>
      </c>
      <c r="C116" s="79">
        <v>220.5</v>
      </c>
      <c r="D116" s="79">
        <v>222.8</v>
      </c>
      <c r="E116" s="79">
        <v>231.7</v>
      </c>
      <c r="F116" s="80"/>
    </row>
    <row r="117" spans="1:6" ht="18.75" x14ac:dyDescent="0.25">
      <c r="A117" s="77">
        <v>101</v>
      </c>
      <c r="B117" s="78" t="s">
        <v>286</v>
      </c>
      <c r="C117" s="79">
        <v>237.6</v>
      </c>
      <c r="D117" s="79">
        <v>239.9</v>
      </c>
      <c r="E117" s="79">
        <v>248.8</v>
      </c>
      <c r="F117" s="80"/>
    </row>
    <row r="118" spans="1:6" ht="18.75" x14ac:dyDescent="0.25">
      <c r="A118" s="77">
        <v>102</v>
      </c>
      <c r="B118" s="78" t="s">
        <v>178</v>
      </c>
      <c r="C118" s="79">
        <v>82</v>
      </c>
      <c r="D118" s="79">
        <v>83</v>
      </c>
      <c r="E118" s="79">
        <v>86.5</v>
      </c>
      <c r="F118" s="80"/>
    </row>
    <row r="119" spans="1:6" ht="18.75" x14ac:dyDescent="0.25">
      <c r="A119" s="77">
        <v>103</v>
      </c>
      <c r="B119" s="78" t="s">
        <v>179</v>
      </c>
      <c r="C119" s="79">
        <v>90.7</v>
      </c>
      <c r="D119" s="79">
        <v>91.7</v>
      </c>
      <c r="E119" s="79">
        <v>95.2</v>
      </c>
      <c r="F119" s="80"/>
    </row>
    <row r="120" spans="1:6" ht="18.75" x14ac:dyDescent="0.25">
      <c r="A120" s="77">
        <v>104</v>
      </c>
      <c r="B120" s="78" t="s">
        <v>180</v>
      </c>
      <c r="C120" s="79">
        <v>93.2</v>
      </c>
      <c r="D120" s="79">
        <v>94.1</v>
      </c>
      <c r="E120" s="79">
        <v>97.6</v>
      </c>
      <c r="F120" s="80"/>
    </row>
    <row r="121" spans="1:6" ht="18.75" x14ac:dyDescent="0.25">
      <c r="A121" s="77">
        <v>105</v>
      </c>
      <c r="B121" s="78" t="s">
        <v>181</v>
      </c>
      <c r="C121" s="79">
        <v>221</v>
      </c>
      <c r="D121" s="79">
        <v>223.3</v>
      </c>
      <c r="E121" s="79">
        <v>232.2</v>
      </c>
      <c r="F121" s="80"/>
    </row>
    <row r="122" spans="1:6" ht="18.75" x14ac:dyDescent="0.25">
      <c r="A122" s="77">
        <v>106</v>
      </c>
      <c r="B122" s="78" t="s">
        <v>182</v>
      </c>
      <c r="C122" s="79">
        <v>90.3</v>
      </c>
      <c r="D122" s="79">
        <v>91.2</v>
      </c>
      <c r="E122" s="79">
        <v>94.8</v>
      </c>
      <c r="F122" s="80"/>
    </row>
    <row r="123" spans="1:6" ht="18.75" x14ac:dyDescent="0.25">
      <c r="A123" s="77">
        <v>107</v>
      </c>
      <c r="B123" s="78" t="s">
        <v>183</v>
      </c>
      <c r="C123" s="79">
        <v>87.7</v>
      </c>
      <c r="D123" s="79">
        <v>88.6</v>
      </c>
      <c r="E123" s="79">
        <v>92.2</v>
      </c>
      <c r="F123" s="80"/>
    </row>
    <row r="124" spans="1:6" ht="18.75" x14ac:dyDescent="0.25">
      <c r="A124" s="77"/>
      <c r="B124" s="82" t="s">
        <v>184</v>
      </c>
      <c r="C124" s="83">
        <f>SUM(C125:C129)</f>
        <v>866.90000000000009</v>
      </c>
      <c r="D124" s="83">
        <f>SUM(D125:D129)</f>
        <v>875.2</v>
      </c>
      <c r="E124" s="83">
        <f>SUM(E125:E129)</f>
        <v>907.2</v>
      </c>
      <c r="F124" s="80"/>
    </row>
    <row r="125" spans="1:6" ht="18.75" x14ac:dyDescent="0.25">
      <c r="A125" s="77">
        <v>108</v>
      </c>
      <c r="B125" s="78" t="s">
        <v>185</v>
      </c>
      <c r="C125" s="79">
        <v>505.1</v>
      </c>
      <c r="D125" s="79">
        <v>509.7</v>
      </c>
      <c r="E125" s="79">
        <v>527.5</v>
      </c>
      <c r="F125" s="80"/>
    </row>
    <row r="126" spans="1:6" ht="18.75" x14ac:dyDescent="0.25">
      <c r="A126" s="77">
        <v>109</v>
      </c>
      <c r="B126" s="78" t="s">
        <v>186</v>
      </c>
      <c r="C126" s="79">
        <v>83</v>
      </c>
      <c r="D126" s="79">
        <v>83.9</v>
      </c>
      <c r="E126" s="79">
        <v>87.4</v>
      </c>
      <c r="F126" s="80"/>
    </row>
    <row r="127" spans="1:6" ht="18.75" x14ac:dyDescent="0.25">
      <c r="A127" s="77">
        <v>110</v>
      </c>
      <c r="B127" s="78" t="s">
        <v>187</v>
      </c>
      <c r="C127" s="79">
        <v>93</v>
      </c>
      <c r="D127" s="79">
        <v>93.9</v>
      </c>
      <c r="E127" s="79">
        <v>97.5</v>
      </c>
      <c r="F127" s="80"/>
    </row>
    <row r="128" spans="1:6" ht="18.75" x14ac:dyDescent="0.25">
      <c r="A128" s="77">
        <v>111</v>
      </c>
      <c r="B128" s="78" t="s">
        <v>188</v>
      </c>
      <c r="C128" s="79">
        <v>91.1</v>
      </c>
      <c r="D128" s="79">
        <v>92.1</v>
      </c>
      <c r="E128" s="79">
        <v>95.6</v>
      </c>
      <c r="F128" s="80"/>
    </row>
    <row r="129" spans="1:6" ht="18.75" x14ac:dyDescent="0.25">
      <c r="A129" s="77">
        <v>112</v>
      </c>
      <c r="B129" s="78" t="s">
        <v>189</v>
      </c>
      <c r="C129" s="79">
        <v>94.7</v>
      </c>
      <c r="D129" s="79">
        <v>95.6</v>
      </c>
      <c r="E129" s="79">
        <v>99.2</v>
      </c>
      <c r="F129" s="80"/>
    </row>
    <row r="130" spans="1:6" ht="18.75" x14ac:dyDescent="0.25">
      <c r="A130" s="77"/>
      <c r="B130" s="82" t="s">
        <v>190</v>
      </c>
      <c r="C130" s="83">
        <f>SUM(C131:C137)</f>
        <v>946.80000000000007</v>
      </c>
      <c r="D130" s="83">
        <f>SUM(D131:D137)</f>
        <v>956.00000000000011</v>
      </c>
      <c r="E130" s="83">
        <f>SUM(E131:E137)</f>
        <v>991.7</v>
      </c>
      <c r="F130" s="80"/>
    </row>
    <row r="131" spans="1:6" ht="18.75" x14ac:dyDescent="0.25">
      <c r="A131" s="77">
        <v>113</v>
      </c>
      <c r="B131" s="78" t="s">
        <v>192</v>
      </c>
      <c r="C131" s="79">
        <v>242.5</v>
      </c>
      <c r="D131" s="79">
        <v>244.8</v>
      </c>
      <c r="E131" s="79">
        <v>253.7</v>
      </c>
      <c r="F131" s="80"/>
    </row>
    <row r="132" spans="1:6" ht="18.75" x14ac:dyDescent="0.25">
      <c r="A132" s="77">
        <v>114</v>
      </c>
      <c r="B132" s="78" t="s">
        <v>193</v>
      </c>
      <c r="C132" s="79">
        <v>231.2</v>
      </c>
      <c r="D132" s="79">
        <v>233.5</v>
      </c>
      <c r="E132" s="79">
        <v>242.4</v>
      </c>
      <c r="F132" s="80"/>
    </row>
    <row r="133" spans="1:6" ht="18.75" x14ac:dyDescent="0.25">
      <c r="A133" s="77">
        <v>115</v>
      </c>
      <c r="B133" s="78" t="s">
        <v>194</v>
      </c>
      <c r="C133" s="79">
        <v>97.4</v>
      </c>
      <c r="D133" s="79">
        <v>98.3</v>
      </c>
      <c r="E133" s="79">
        <v>101.9</v>
      </c>
      <c r="F133" s="80"/>
    </row>
    <row r="134" spans="1:6" ht="18.75" x14ac:dyDescent="0.25">
      <c r="A134" s="77">
        <v>116</v>
      </c>
      <c r="B134" s="78" t="s">
        <v>195</v>
      </c>
      <c r="C134" s="79">
        <v>94.3</v>
      </c>
      <c r="D134" s="79">
        <v>95.2</v>
      </c>
      <c r="E134" s="79">
        <v>98.8</v>
      </c>
      <c r="F134" s="80"/>
    </row>
    <row r="135" spans="1:6" ht="18.75" x14ac:dyDescent="0.25">
      <c r="A135" s="77">
        <v>117</v>
      </c>
      <c r="B135" s="78" t="s">
        <v>196</v>
      </c>
      <c r="C135" s="79">
        <v>97</v>
      </c>
      <c r="D135" s="79">
        <v>97.9</v>
      </c>
      <c r="E135" s="79">
        <v>101.5</v>
      </c>
      <c r="F135" s="80"/>
    </row>
    <row r="136" spans="1:6" ht="18.75" x14ac:dyDescent="0.25">
      <c r="A136" s="77">
        <v>118</v>
      </c>
      <c r="B136" s="78" t="s">
        <v>197</v>
      </c>
      <c r="C136" s="79">
        <v>89.2</v>
      </c>
      <c r="D136" s="79">
        <v>90.2</v>
      </c>
      <c r="E136" s="79">
        <v>93.7</v>
      </c>
      <c r="F136" s="80"/>
    </row>
    <row r="137" spans="1:6" ht="18.75" x14ac:dyDescent="0.25">
      <c r="A137" s="77">
        <v>119</v>
      </c>
      <c r="B137" s="78" t="s">
        <v>198</v>
      </c>
      <c r="C137" s="79">
        <v>95.2</v>
      </c>
      <c r="D137" s="79">
        <v>96.1</v>
      </c>
      <c r="E137" s="79">
        <v>99.7</v>
      </c>
      <c r="F137" s="80"/>
    </row>
    <row r="138" spans="1:6" ht="18.75" x14ac:dyDescent="0.25">
      <c r="A138" s="77"/>
      <c r="B138" s="82" t="s">
        <v>287</v>
      </c>
      <c r="C138" s="83">
        <f>SUM(C139:C141)</f>
        <v>664.3</v>
      </c>
      <c r="D138" s="83">
        <f>SUM(D139:D141)</f>
        <v>671.2</v>
      </c>
      <c r="E138" s="83">
        <f>SUM(E139:E141)</f>
        <v>697.90000000000009</v>
      </c>
      <c r="F138" s="80"/>
    </row>
    <row r="139" spans="1:6" ht="18.75" x14ac:dyDescent="0.25">
      <c r="A139" s="77">
        <v>120</v>
      </c>
      <c r="B139" s="78" t="s">
        <v>200</v>
      </c>
      <c r="C139" s="79">
        <v>223.1</v>
      </c>
      <c r="D139" s="79">
        <v>225.4</v>
      </c>
      <c r="E139" s="79">
        <v>234.3</v>
      </c>
      <c r="F139" s="80"/>
    </row>
    <row r="140" spans="1:6" ht="18.75" x14ac:dyDescent="0.25">
      <c r="A140" s="77">
        <v>121</v>
      </c>
      <c r="B140" s="78" t="s">
        <v>201</v>
      </c>
      <c r="C140" s="79">
        <v>220.7</v>
      </c>
      <c r="D140" s="79">
        <v>223</v>
      </c>
      <c r="E140" s="79">
        <v>231.9</v>
      </c>
      <c r="F140" s="80"/>
    </row>
    <row r="141" spans="1:6" ht="18.75" x14ac:dyDescent="0.25">
      <c r="A141" s="77">
        <v>122</v>
      </c>
      <c r="B141" s="78" t="s">
        <v>202</v>
      </c>
      <c r="C141" s="79">
        <v>220.5</v>
      </c>
      <c r="D141" s="79">
        <v>222.8</v>
      </c>
      <c r="E141" s="79">
        <v>231.7</v>
      </c>
      <c r="F141" s="80"/>
    </row>
    <row r="142" spans="1:6" ht="18.75" x14ac:dyDescent="0.25">
      <c r="A142" s="77"/>
      <c r="B142" s="82" t="s">
        <v>203</v>
      </c>
      <c r="C142" s="83">
        <f>SUM(C143:C145)</f>
        <v>401.29999999999995</v>
      </c>
      <c r="D142" s="83">
        <f>SUM(D143:D145)</f>
        <v>405.4</v>
      </c>
      <c r="E142" s="83">
        <f>SUM(E143:E145)</f>
        <v>421.5</v>
      </c>
      <c r="F142" s="80"/>
    </row>
    <row r="143" spans="1:6" ht="18.75" x14ac:dyDescent="0.25">
      <c r="A143" s="77">
        <v>123</v>
      </c>
      <c r="B143" s="78" t="s">
        <v>204</v>
      </c>
      <c r="C143" s="79">
        <v>221.1</v>
      </c>
      <c r="D143" s="79">
        <v>223.4</v>
      </c>
      <c r="E143" s="79">
        <v>232.3</v>
      </c>
      <c r="F143" s="80"/>
    </row>
    <row r="144" spans="1:6" ht="18.75" x14ac:dyDescent="0.25">
      <c r="A144" s="77">
        <v>124</v>
      </c>
      <c r="B144" s="78" t="s">
        <v>205</v>
      </c>
      <c r="C144" s="79">
        <v>88.6</v>
      </c>
      <c r="D144" s="79">
        <v>89.5</v>
      </c>
      <c r="E144" s="79">
        <v>93.1</v>
      </c>
      <c r="F144" s="80"/>
    </row>
    <row r="145" spans="1:6" ht="18.75" x14ac:dyDescent="0.25">
      <c r="A145" s="77">
        <v>125</v>
      </c>
      <c r="B145" s="78" t="s">
        <v>206</v>
      </c>
      <c r="C145" s="79">
        <v>91.6</v>
      </c>
      <c r="D145" s="79">
        <v>92.5</v>
      </c>
      <c r="E145" s="79">
        <v>96.1</v>
      </c>
      <c r="F145" s="80"/>
    </row>
    <row r="146" spans="1:6" ht="18.75" x14ac:dyDescent="0.25">
      <c r="A146" s="77"/>
      <c r="B146" s="82" t="s">
        <v>207</v>
      </c>
      <c r="C146" s="83">
        <f>SUM(C147:C157)</f>
        <v>1134.6000000000001</v>
      </c>
      <c r="D146" s="83">
        <f>SUM(D147:D157)</f>
        <v>1146.0999999999999</v>
      </c>
      <c r="E146" s="83">
        <f>SUM(E147:E157)</f>
        <v>1190.2</v>
      </c>
      <c r="F146" s="80"/>
    </row>
    <row r="147" spans="1:6" ht="18.75" x14ac:dyDescent="0.25">
      <c r="A147" s="77">
        <v>126</v>
      </c>
      <c r="B147" s="78" t="s">
        <v>208</v>
      </c>
      <c r="C147" s="79">
        <v>239.6</v>
      </c>
      <c r="D147" s="79">
        <v>241.9</v>
      </c>
      <c r="E147" s="79">
        <v>250.8</v>
      </c>
      <c r="F147" s="80"/>
    </row>
    <row r="148" spans="1:6" ht="18.75" x14ac:dyDescent="0.25">
      <c r="A148" s="77">
        <v>127</v>
      </c>
      <c r="B148" s="78" t="s">
        <v>288</v>
      </c>
      <c r="C148" s="79">
        <v>92.6</v>
      </c>
      <c r="D148" s="79">
        <v>93.5</v>
      </c>
      <c r="E148" s="79">
        <v>97</v>
      </c>
      <c r="F148" s="80"/>
    </row>
    <row r="149" spans="1:6" ht="18.75" x14ac:dyDescent="0.25">
      <c r="A149" s="77">
        <v>128</v>
      </c>
      <c r="B149" s="78" t="s">
        <v>289</v>
      </c>
      <c r="C149" s="79">
        <v>86.3</v>
      </c>
      <c r="D149" s="79">
        <v>87.2</v>
      </c>
      <c r="E149" s="79">
        <v>90.8</v>
      </c>
      <c r="F149" s="80"/>
    </row>
    <row r="150" spans="1:6" ht="18.75" x14ac:dyDescent="0.25">
      <c r="A150" s="77">
        <v>129</v>
      </c>
      <c r="B150" s="78" t="s">
        <v>290</v>
      </c>
      <c r="C150" s="79">
        <v>88.3</v>
      </c>
      <c r="D150" s="79">
        <v>89.2</v>
      </c>
      <c r="E150" s="79">
        <v>92.7</v>
      </c>
      <c r="F150" s="80"/>
    </row>
    <row r="151" spans="1:6" ht="18.75" x14ac:dyDescent="0.25">
      <c r="A151" s="77">
        <v>130</v>
      </c>
      <c r="B151" s="78" t="s">
        <v>291</v>
      </c>
      <c r="C151" s="79">
        <v>87.3</v>
      </c>
      <c r="D151" s="79">
        <v>88.2</v>
      </c>
      <c r="E151" s="79">
        <v>91.7</v>
      </c>
      <c r="F151" s="80"/>
    </row>
    <row r="152" spans="1:6" ht="18.75" x14ac:dyDescent="0.25">
      <c r="A152" s="77">
        <v>131</v>
      </c>
      <c r="B152" s="78" t="s">
        <v>292</v>
      </c>
      <c r="C152" s="79">
        <v>89.9</v>
      </c>
      <c r="D152" s="79">
        <v>90.9</v>
      </c>
      <c r="E152" s="79">
        <v>94.4</v>
      </c>
      <c r="F152" s="80"/>
    </row>
    <row r="153" spans="1:6" ht="18.75" x14ac:dyDescent="0.25">
      <c r="A153" s="77">
        <v>132</v>
      </c>
      <c r="B153" s="78" t="s">
        <v>293</v>
      </c>
      <c r="C153" s="79">
        <v>87.4</v>
      </c>
      <c r="D153" s="79">
        <v>88.3</v>
      </c>
      <c r="E153" s="79">
        <v>91.8</v>
      </c>
      <c r="F153" s="80"/>
    </row>
    <row r="154" spans="1:6" ht="18.75" x14ac:dyDescent="0.25">
      <c r="A154" s="77">
        <v>133</v>
      </c>
      <c r="B154" s="78" t="s">
        <v>294</v>
      </c>
      <c r="C154" s="79">
        <v>90.5</v>
      </c>
      <c r="D154" s="79">
        <v>91.5</v>
      </c>
      <c r="E154" s="79">
        <v>95</v>
      </c>
      <c r="F154" s="80"/>
    </row>
    <row r="155" spans="1:6" ht="18.75" x14ac:dyDescent="0.25">
      <c r="A155" s="77">
        <v>134</v>
      </c>
      <c r="B155" s="78" t="s">
        <v>295</v>
      </c>
      <c r="C155" s="79">
        <v>97</v>
      </c>
      <c r="D155" s="79">
        <v>97.9</v>
      </c>
      <c r="E155" s="79">
        <v>101.5</v>
      </c>
      <c r="F155" s="80"/>
    </row>
    <row r="156" spans="1:6" ht="18.75" x14ac:dyDescent="0.25">
      <c r="A156" s="77">
        <v>135</v>
      </c>
      <c r="B156" s="78" t="s">
        <v>296</v>
      </c>
      <c r="C156" s="79">
        <v>92.3</v>
      </c>
      <c r="D156" s="79">
        <v>93.2</v>
      </c>
      <c r="E156" s="79">
        <v>96.7</v>
      </c>
      <c r="F156" s="80"/>
    </row>
    <row r="157" spans="1:6" ht="18.75" x14ac:dyDescent="0.25">
      <c r="A157" s="77">
        <v>136</v>
      </c>
      <c r="B157" s="78" t="s">
        <v>297</v>
      </c>
      <c r="C157" s="79">
        <v>83.4</v>
      </c>
      <c r="D157" s="79">
        <v>84.3</v>
      </c>
      <c r="E157" s="79">
        <v>87.8</v>
      </c>
      <c r="F157" s="80"/>
    </row>
    <row r="158" spans="1:6" ht="18.75" x14ac:dyDescent="0.25">
      <c r="A158" s="77"/>
      <c r="B158" s="82" t="s">
        <v>219</v>
      </c>
      <c r="C158" s="83">
        <f>SUM(C159:C165)</f>
        <v>1041.7</v>
      </c>
      <c r="D158" s="83">
        <f>SUM(D159:D165)</f>
        <v>1052.2</v>
      </c>
      <c r="E158" s="83">
        <f>SUM(E159:E165)</f>
        <v>1093.3</v>
      </c>
      <c r="F158" s="80"/>
    </row>
    <row r="159" spans="1:6" ht="18.75" x14ac:dyDescent="0.25">
      <c r="A159" s="77">
        <v>137</v>
      </c>
      <c r="B159" s="78" t="s">
        <v>298</v>
      </c>
      <c r="C159" s="79">
        <v>221</v>
      </c>
      <c r="D159" s="79">
        <v>223.3</v>
      </c>
      <c r="E159" s="79">
        <v>232.2</v>
      </c>
      <c r="F159" s="80"/>
    </row>
    <row r="160" spans="1:6" ht="18.75" x14ac:dyDescent="0.25">
      <c r="A160" s="77">
        <v>138</v>
      </c>
      <c r="B160" s="78" t="s">
        <v>299</v>
      </c>
      <c r="C160" s="79">
        <v>99.8</v>
      </c>
      <c r="D160" s="79">
        <v>100.7</v>
      </c>
      <c r="E160" s="79">
        <v>104.3</v>
      </c>
      <c r="F160" s="80"/>
    </row>
    <row r="161" spans="1:6" ht="18.75" x14ac:dyDescent="0.25">
      <c r="A161" s="77">
        <v>139</v>
      </c>
      <c r="B161" s="78" t="s">
        <v>300</v>
      </c>
      <c r="C161" s="79">
        <v>91.5</v>
      </c>
      <c r="D161" s="79">
        <v>92.4</v>
      </c>
      <c r="E161" s="79">
        <v>96</v>
      </c>
      <c r="F161" s="80"/>
    </row>
    <row r="162" spans="1:6" ht="18.75" x14ac:dyDescent="0.25">
      <c r="A162" s="77">
        <v>140</v>
      </c>
      <c r="B162" s="78" t="s">
        <v>301</v>
      </c>
      <c r="C162" s="79">
        <v>220.2</v>
      </c>
      <c r="D162" s="79">
        <v>222.5</v>
      </c>
      <c r="E162" s="79">
        <v>231.4</v>
      </c>
      <c r="F162" s="80"/>
    </row>
    <row r="163" spans="1:6" ht="18.75" x14ac:dyDescent="0.25">
      <c r="A163" s="77">
        <v>141</v>
      </c>
      <c r="B163" s="78" t="s">
        <v>302</v>
      </c>
      <c r="C163" s="79">
        <v>94.8</v>
      </c>
      <c r="D163" s="79">
        <v>95.7</v>
      </c>
      <c r="E163" s="79">
        <v>99.3</v>
      </c>
      <c r="F163" s="80"/>
    </row>
    <row r="164" spans="1:6" ht="18.75" x14ac:dyDescent="0.25">
      <c r="A164" s="77">
        <v>142</v>
      </c>
      <c r="B164" s="78" t="s">
        <v>303</v>
      </c>
      <c r="C164" s="79">
        <v>221</v>
      </c>
      <c r="D164" s="79">
        <v>223.3</v>
      </c>
      <c r="E164" s="79">
        <v>232.2</v>
      </c>
      <c r="F164" s="80"/>
    </row>
    <row r="165" spans="1:6" ht="18.75" x14ac:dyDescent="0.25">
      <c r="A165" s="77">
        <v>143</v>
      </c>
      <c r="B165" s="78" t="s">
        <v>304</v>
      </c>
      <c r="C165" s="79">
        <v>93.4</v>
      </c>
      <c r="D165" s="79">
        <v>94.3</v>
      </c>
      <c r="E165" s="79">
        <v>97.9</v>
      </c>
      <c r="F165" s="80"/>
    </row>
    <row r="166" spans="1:6" ht="18.75" x14ac:dyDescent="0.25">
      <c r="A166" s="77"/>
      <c r="B166" s="82" t="s">
        <v>227</v>
      </c>
      <c r="C166" s="83">
        <f>SUM(C167:C174)</f>
        <v>834.2</v>
      </c>
      <c r="D166" s="83">
        <f>SUM(D167:D174)</f>
        <v>842.8</v>
      </c>
      <c r="E166" s="83">
        <f>SUM(E167:E174)</f>
        <v>876.69999999999993</v>
      </c>
      <c r="F166" s="80"/>
    </row>
    <row r="167" spans="1:6" ht="18.75" x14ac:dyDescent="0.25">
      <c r="A167" s="77">
        <v>144</v>
      </c>
      <c r="B167" s="78" t="s">
        <v>228</v>
      </c>
      <c r="C167" s="84">
        <v>242.9</v>
      </c>
      <c r="D167" s="84">
        <v>245.2</v>
      </c>
      <c r="E167" s="84">
        <v>254.1</v>
      </c>
      <c r="F167" s="80"/>
    </row>
    <row r="168" spans="1:6" ht="18.75" x14ac:dyDescent="0.25">
      <c r="A168" s="77">
        <v>145</v>
      </c>
      <c r="B168" s="78" t="s">
        <v>229</v>
      </c>
      <c r="C168" s="79">
        <v>89.2</v>
      </c>
      <c r="D168" s="79">
        <v>90.1</v>
      </c>
      <c r="E168" s="79">
        <v>93.7</v>
      </c>
      <c r="F168" s="80"/>
    </row>
    <row r="169" spans="1:6" ht="18.75" x14ac:dyDescent="0.25">
      <c r="A169" s="77">
        <v>146</v>
      </c>
      <c r="B169" s="78" t="s">
        <v>230</v>
      </c>
      <c r="C169" s="79">
        <v>83.8</v>
      </c>
      <c r="D169" s="79">
        <v>84.7</v>
      </c>
      <c r="E169" s="79">
        <v>88.2</v>
      </c>
      <c r="F169" s="80"/>
    </row>
    <row r="170" spans="1:6" ht="18.75" x14ac:dyDescent="0.25">
      <c r="A170" s="77">
        <v>147</v>
      </c>
      <c r="B170" s="78" t="s">
        <v>231</v>
      </c>
      <c r="C170" s="79">
        <v>83.9</v>
      </c>
      <c r="D170" s="79">
        <v>84.8</v>
      </c>
      <c r="E170" s="79">
        <v>88.3</v>
      </c>
      <c r="F170" s="80"/>
    </row>
    <row r="171" spans="1:6" ht="18.75" x14ac:dyDescent="0.25">
      <c r="A171" s="77">
        <v>148</v>
      </c>
      <c r="B171" s="78" t="s">
        <v>232</v>
      </c>
      <c r="C171" s="79">
        <v>83.6</v>
      </c>
      <c r="D171" s="79">
        <v>84.5</v>
      </c>
      <c r="E171" s="79">
        <v>88.1</v>
      </c>
      <c r="F171" s="80"/>
    </row>
    <row r="172" spans="1:6" ht="18.75" x14ac:dyDescent="0.25">
      <c r="A172" s="77">
        <v>149</v>
      </c>
      <c r="B172" s="78" t="s">
        <v>233</v>
      </c>
      <c r="C172" s="79">
        <v>84.9</v>
      </c>
      <c r="D172" s="79">
        <v>85.8</v>
      </c>
      <c r="E172" s="79">
        <v>89.4</v>
      </c>
      <c r="F172" s="80"/>
    </row>
    <row r="173" spans="1:6" ht="18.75" x14ac:dyDescent="0.25">
      <c r="A173" s="77">
        <v>150</v>
      </c>
      <c r="B173" s="78" t="s">
        <v>234</v>
      </c>
      <c r="C173" s="79">
        <v>82.3</v>
      </c>
      <c r="D173" s="79">
        <v>83.2</v>
      </c>
      <c r="E173" s="79">
        <v>86.8</v>
      </c>
      <c r="F173" s="80"/>
    </row>
    <row r="174" spans="1:6" ht="18.75" x14ac:dyDescent="0.25">
      <c r="A174" s="77">
        <v>151</v>
      </c>
      <c r="B174" s="78" t="s">
        <v>235</v>
      </c>
      <c r="C174" s="79">
        <v>83.6</v>
      </c>
      <c r="D174" s="79">
        <v>84.5</v>
      </c>
      <c r="E174" s="79">
        <v>88.1</v>
      </c>
      <c r="F174" s="80"/>
    </row>
    <row r="175" spans="1:6" ht="18.75" x14ac:dyDescent="0.25">
      <c r="A175" s="77"/>
      <c r="B175" s="82" t="s">
        <v>236</v>
      </c>
      <c r="C175" s="83">
        <f>SUM(C176:C180)</f>
        <v>622.9</v>
      </c>
      <c r="D175" s="83">
        <f>SUM(D176:D180)</f>
        <v>628.79999999999995</v>
      </c>
      <c r="E175" s="83">
        <f>SUM(E176:E180)</f>
        <v>651.90000000000009</v>
      </c>
      <c r="F175" s="80"/>
    </row>
    <row r="176" spans="1:6" ht="18.75" x14ac:dyDescent="0.25">
      <c r="A176" s="77">
        <v>152</v>
      </c>
      <c r="B176" s="78" t="s">
        <v>237</v>
      </c>
      <c r="C176" s="79">
        <v>257.60000000000002</v>
      </c>
      <c r="D176" s="79">
        <v>259.89999999999998</v>
      </c>
      <c r="E176" s="79">
        <v>268.8</v>
      </c>
      <c r="F176" s="80"/>
    </row>
    <row r="177" spans="1:6" ht="18.75" x14ac:dyDescent="0.25">
      <c r="A177" s="77">
        <v>153</v>
      </c>
      <c r="B177" s="78" t="s">
        <v>238</v>
      </c>
      <c r="C177" s="79">
        <v>86.3</v>
      </c>
      <c r="D177" s="79">
        <v>87.2</v>
      </c>
      <c r="E177" s="79">
        <v>90.8</v>
      </c>
      <c r="F177" s="80"/>
    </row>
    <row r="178" spans="1:6" ht="18.75" x14ac:dyDescent="0.25">
      <c r="A178" s="77">
        <v>154</v>
      </c>
      <c r="B178" s="78" t="s">
        <v>239</v>
      </c>
      <c r="C178" s="79">
        <v>92.6</v>
      </c>
      <c r="D178" s="79">
        <v>93.5</v>
      </c>
      <c r="E178" s="79">
        <v>97</v>
      </c>
      <c r="F178" s="80"/>
    </row>
    <row r="179" spans="1:6" ht="18.75" x14ac:dyDescent="0.25">
      <c r="A179" s="77">
        <v>155</v>
      </c>
      <c r="B179" s="78" t="s">
        <v>240</v>
      </c>
      <c r="C179" s="79">
        <v>88.1</v>
      </c>
      <c r="D179" s="79">
        <v>89</v>
      </c>
      <c r="E179" s="79">
        <v>92.6</v>
      </c>
      <c r="F179" s="80"/>
    </row>
    <row r="180" spans="1:6" ht="18.75" x14ac:dyDescent="0.25">
      <c r="A180" s="77">
        <v>156</v>
      </c>
      <c r="B180" s="78" t="s">
        <v>241</v>
      </c>
      <c r="C180" s="79">
        <v>98.3</v>
      </c>
      <c r="D180" s="79">
        <v>99.2</v>
      </c>
      <c r="E180" s="79">
        <v>102.7</v>
      </c>
      <c r="F180" s="80"/>
    </row>
    <row r="181" spans="1:6" ht="18.75" x14ac:dyDescent="0.25">
      <c r="A181" s="77"/>
      <c r="B181" s="82" t="s">
        <v>242</v>
      </c>
      <c r="C181" s="83">
        <f>SUM(C182:C190)</f>
        <v>1615</v>
      </c>
      <c r="D181" s="83">
        <f>SUM(D182:D190)</f>
        <v>1631.1999999999998</v>
      </c>
      <c r="E181" s="83">
        <f>SUM(E182:E190)</f>
        <v>1693.4999999999998</v>
      </c>
      <c r="F181" s="80"/>
    </row>
    <row r="182" spans="1:6" ht="18.75" x14ac:dyDescent="0.25">
      <c r="A182" s="77">
        <v>157</v>
      </c>
      <c r="B182" s="78" t="s">
        <v>243</v>
      </c>
      <c r="C182" s="79">
        <v>492</v>
      </c>
      <c r="D182" s="79">
        <v>496.7</v>
      </c>
      <c r="E182" s="79">
        <v>514.4</v>
      </c>
      <c r="F182" s="80"/>
    </row>
    <row r="183" spans="1:6" ht="18.75" x14ac:dyDescent="0.25">
      <c r="A183" s="77">
        <v>158</v>
      </c>
      <c r="B183" s="78" t="s">
        <v>244</v>
      </c>
      <c r="C183" s="79">
        <v>86.6</v>
      </c>
      <c r="D183" s="79">
        <v>87.6</v>
      </c>
      <c r="E183" s="79">
        <v>91.1</v>
      </c>
      <c r="F183" s="80"/>
    </row>
    <row r="184" spans="1:6" ht="18.75" x14ac:dyDescent="0.25">
      <c r="A184" s="77">
        <v>159</v>
      </c>
      <c r="B184" s="78" t="s">
        <v>245</v>
      </c>
      <c r="C184" s="79">
        <v>89.5</v>
      </c>
      <c r="D184" s="79">
        <v>90.4</v>
      </c>
      <c r="E184" s="79">
        <v>94</v>
      </c>
      <c r="F184" s="80"/>
    </row>
    <row r="185" spans="1:6" ht="18.75" x14ac:dyDescent="0.25">
      <c r="A185" s="77">
        <v>160</v>
      </c>
      <c r="B185" s="78" t="s">
        <v>246</v>
      </c>
      <c r="C185" s="79">
        <v>88.5</v>
      </c>
      <c r="D185" s="79">
        <v>89.4</v>
      </c>
      <c r="E185" s="79">
        <v>93</v>
      </c>
      <c r="F185" s="80"/>
    </row>
    <row r="186" spans="1:6" ht="18.75" x14ac:dyDescent="0.25">
      <c r="A186" s="77">
        <v>161</v>
      </c>
      <c r="B186" s="78" t="s">
        <v>247</v>
      </c>
      <c r="C186" s="79">
        <v>225.1</v>
      </c>
      <c r="D186" s="79">
        <v>227.4</v>
      </c>
      <c r="E186" s="79">
        <v>236.3</v>
      </c>
      <c r="F186" s="80"/>
    </row>
    <row r="187" spans="1:6" ht="18.75" x14ac:dyDescent="0.25">
      <c r="A187" s="77">
        <v>162</v>
      </c>
      <c r="B187" s="78" t="s">
        <v>305</v>
      </c>
      <c r="C187" s="79">
        <v>94.8</v>
      </c>
      <c r="D187" s="79">
        <v>95.7</v>
      </c>
      <c r="E187" s="79">
        <v>99.3</v>
      </c>
      <c r="F187" s="80"/>
    </row>
    <row r="188" spans="1:6" ht="18.75" x14ac:dyDescent="0.25">
      <c r="A188" s="77">
        <v>163</v>
      </c>
      <c r="B188" s="78" t="s">
        <v>306</v>
      </c>
      <c r="C188" s="79">
        <v>226.8</v>
      </c>
      <c r="D188" s="79">
        <v>229.1</v>
      </c>
      <c r="E188" s="79">
        <v>238</v>
      </c>
      <c r="F188" s="80"/>
    </row>
    <row r="189" spans="1:6" ht="18.75" x14ac:dyDescent="0.25">
      <c r="A189" s="77">
        <v>164</v>
      </c>
      <c r="B189" s="78" t="s">
        <v>307</v>
      </c>
      <c r="C189" s="79">
        <v>220.4</v>
      </c>
      <c r="D189" s="79">
        <v>222.7</v>
      </c>
      <c r="E189" s="79">
        <v>231.6</v>
      </c>
      <c r="F189" s="80"/>
    </row>
    <row r="190" spans="1:6" ht="18.75" x14ac:dyDescent="0.25">
      <c r="A190" s="77">
        <v>165</v>
      </c>
      <c r="B190" s="78" t="s">
        <v>251</v>
      </c>
      <c r="C190" s="79">
        <v>91.3</v>
      </c>
      <c r="D190" s="79">
        <v>92.2</v>
      </c>
      <c r="E190" s="79">
        <v>95.8</v>
      </c>
      <c r="F190" s="80"/>
    </row>
    <row r="191" spans="1:6" ht="18.75" x14ac:dyDescent="0.25">
      <c r="A191" s="77"/>
      <c r="B191" s="82" t="s">
        <v>252</v>
      </c>
      <c r="C191" s="83">
        <f>SUM(C192:C205)</f>
        <v>1530.2999999999997</v>
      </c>
      <c r="D191" s="83">
        <f>SUM(D192:D205)</f>
        <v>1546.1000000000004</v>
      </c>
      <c r="E191" s="83">
        <f>SUM(E192:E205)</f>
        <v>1606.3</v>
      </c>
      <c r="F191" s="80"/>
    </row>
    <row r="192" spans="1:6" ht="18.75" x14ac:dyDescent="0.25">
      <c r="A192" s="77">
        <v>166</v>
      </c>
      <c r="B192" s="78" t="s">
        <v>253</v>
      </c>
      <c r="C192" s="79">
        <v>84.2</v>
      </c>
      <c r="D192" s="79">
        <v>85.1</v>
      </c>
      <c r="E192" s="79">
        <v>88.7</v>
      </c>
      <c r="F192" s="80"/>
    </row>
    <row r="193" spans="1:6" ht="18.75" x14ac:dyDescent="0.25">
      <c r="A193" s="77">
        <v>167</v>
      </c>
      <c r="B193" s="78" t="s">
        <v>254</v>
      </c>
      <c r="C193" s="79">
        <v>91.1</v>
      </c>
      <c r="D193" s="79">
        <v>92.1</v>
      </c>
      <c r="E193" s="79">
        <v>95.6</v>
      </c>
      <c r="F193" s="80"/>
    </row>
    <row r="194" spans="1:6" ht="18.75" x14ac:dyDescent="0.25">
      <c r="A194" s="77">
        <v>168</v>
      </c>
      <c r="B194" s="78" t="s">
        <v>308</v>
      </c>
      <c r="C194" s="79">
        <v>225.1</v>
      </c>
      <c r="D194" s="79">
        <v>227.4</v>
      </c>
      <c r="E194" s="79">
        <v>236.3</v>
      </c>
      <c r="F194" s="80"/>
    </row>
    <row r="195" spans="1:6" ht="18.75" x14ac:dyDescent="0.25">
      <c r="A195" s="77">
        <v>169</v>
      </c>
      <c r="B195" s="78" t="s">
        <v>256</v>
      </c>
      <c r="C195" s="79">
        <v>100.1</v>
      </c>
      <c r="D195" s="79">
        <v>101.1</v>
      </c>
      <c r="E195" s="79">
        <v>104.6</v>
      </c>
      <c r="F195" s="80"/>
    </row>
    <row r="196" spans="1:6" ht="18.75" x14ac:dyDescent="0.25">
      <c r="A196" s="77">
        <v>170</v>
      </c>
      <c r="B196" s="78" t="s">
        <v>257</v>
      </c>
      <c r="C196" s="79">
        <v>95.8</v>
      </c>
      <c r="D196" s="79">
        <v>96.7</v>
      </c>
      <c r="E196" s="79">
        <v>100.3</v>
      </c>
      <c r="F196" s="80"/>
    </row>
    <row r="197" spans="1:6" ht="18.75" x14ac:dyDescent="0.25">
      <c r="A197" s="77">
        <v>171</v>
      </c>
      <c r="B197" s="78" t="s">
        <v>258</v>
      </c>
      <c r="C197" s="79">
        <v>89.7</v>
      </c>
      <c r="D197" s="79">
        <v>90.7</v>
      </c>
      <c r="E197" s="79">
        <v>94.2</v>
      </c>
      <c r="F197" s="80"/>
    </row>
    <row r="198" spans="1:6" ht="18.75" x14ac:dyDescent="0.25">
      <c r="A198" s="77">
        <v>172</v>
      </c>
      <c r="B198" s="78" t="s">
        <v>259</v>
      </c>
      <c r="C198" s="79">
        <v>88.6</v>
      </c>
      <c r="D198" s="79">
        <v>89.5</v>
      </c>
      <c r="E198" s="79">
        <v>93</v>
      </c>
      <c r="F198" s="80"/>
    </row>
    <row r="199" spans="1:6" ht="18.75" x14ac:dyDescent="0.25">
      <c r="A199" s="77">
        <v>173</v>
      </c>
      <c r="B199" s="78" t="s">
        <v>260</v>
      </c>
      <c r="C199" s="79">
        <v>221.9</v>
      </c>
      <c r="D199" s="79">
        <v>224.2</v>
      </c>
      <c r="E199" s="79">
        <v>233.1</v>
      </c>
      <c r="F199" s="80"/>
    </row>
    <row r="200" spans="1:6" ht="18.75" x14ac:dyDescent="0.25">
      <c r="A200" s="77">
        <v>174</v>
      </c>
      <c r="B200" s="78" t="s">
        <v>261</v>
      </c>
      <c r="C200" s="79">
        <v>92.5</v>
      </c>
      <c r="D200" s="79">
        <v>93.4</v>
      </c>
      <c r="E200" s="79">
        <v>96.9</v>
      </c>
      <c r="F200" s="80"/>
    </row>
    <row r="201" spans="1:6" ht="18.75" x14ac:dyDescent="0.25">
      <c r="A201" s="77">
        <v>175</v>
      </c>
      <c r="B201" s="78" t="s">
        <v>262</v>
      </c>
      <c r="C201" s="79">
        <v>87.6</v>
      </c>
      <c r="D201" s="79">
        <v>88.5</v>
      </c>
      <c r="E201" s="79">
        <v>92.1</v>
      </c>
      <c r="F201" s="80"/>
    </row>
    <row r="202" spans="1:6" ht="18.75" x14ac:dyDescent="0.25">
      <c r="A202" s="77">
        <v>176</v>
      </c>
      <c r="B202" s="78" t="s">
        <v>263</v>
      </c>
      <c r="C202" s="79">
        <v>86.5</v>
      </c>
      <c r="D202" s="79">
        <v>87.4</v>
      </c>
      <c r="E202" s="79">
        <v>90.9</v>
      </c>
      <c r="F202" s="80"/>
    </row>
    <row r="203" spans="1:6" ht="18.75" x14ac:dyDescent="0.25">
      <c r="A203" s="77">
        <v>177</v>
      </c>
      <c r="B203" s="78" t="s">
        <v>264</v>
      </c>
      <c r="C203" s="79">
        <v>87.6</v>
      </c>
      <c r="D203" s="79">
        <v>88.5</v>
      </c>
      <c r="E203" s="79">
        <v>92.1</v>
      </c>
      <c r="F203" s="80"/>
    </row>
    <row r="204" spans="1:6" ht="18.75" x14ac:dyDescent="0.25">
      <c r="A204" s="77">
        <v>178</v>
      </c>
      <c r="B204" s="78" t="s">
        <v>265</v>
      </c>
      <c r="C204" s="79">
        <v>83.1</v>
      </c>
      <c r="D204" s="79">
        <v>84</v>
      </c>
      <c r="E204" s="79">
        <v>87.5</v>
      </c>
      <c r="F204" s="80"/>
    </row>
    <row r="205" spans="1:6" ht="18.75" x14ac:dyDescent="0.25">
      <c r="A205" s="77">
        <v>179</v>
      </c>
      <c r="B205" s="78" t="s">
        <v>266</v>
      </c>
      <c r="C205" s="79">
        <v>96.5</v>
      </c>
      <c r="D205" s="79">
        <v>97.5</v>
      </c>
      <c r="E205" s="79">
        <v>101</v>
      </c>
      <c r="F205" s="80"/>
    </row>
    <row r="206" spans="1:6" ht="18.75" x14ac:dyDescent="0.25">
      <c r="A206" s="77"/>
      <c r="B206" s="82" t="s">
        <v>267</v>
      </c>
      <c r="C206" s="83">
        <f>SUM(C207:C215)</f>
        <v>1441</v>
      </c>
      <c r="D206" s="83">
        <f>SUM(D207:D215)</f>
        <v>1455.3999999999999</v>
      </c>
      <c r="E206" s="83">
        <f>SUM(E207:E215)</f>
        <v>1510.3999999999999</v>
      </c>
      <c r="F206" s="80"/>
    </row>
    <row r="207" spans="1:6" ht="18.75" x14ac:dyDescent="0.25">
      <c r="A207" s="77">
        <v>180</v>
      </c>
      <c r="B207" s="78" t="s">
        <v>268</v>
      </c>
      <c r="C207" s="79">
        <v>743.3</v>
      </c>
      <c r="D207" s="79">
        <v>750.2</v>
      </c>
      <c r="E207" s="79">
        <v>776.9</v>
      </c>
      <c r="F207" s="80"/>
    </row>
    <row r="208" spans="1:6" ht="18.75" x14ac:dyDescent="0.25">
      <c r="A208" s="77">
        <v>181</v>
      </c>
      <c r="B208" s="78" t="s">
        <v>269</v>
      </c>
      <c r="C208" s="79">
        <v>83.6</v>
      </c>
      <c r="D208" s="79">
        <v>84.5</v>
      </c>
      <c r="E208" s="79">
        <v>88.1</v>
      </c>
      <c r="F208" s="80"/>
    </row>
    <row r="209" spans="1:6" ht="18.75" x14ac:dyDescent="0.25">
      <c r="A209" s="77">
        <v>182</v>
      </c>
      <c r="B209" s="78" t="s">
        <v>270</v>
      </c>
      <c r="C209" s="79">
        <v>82</v>
      </c>
      <c r="D209" s="79">
        <v>82.9</v>
      </c>
      <c r="E209" s="79">
        <v>86.5</v>
      </c>
      <c r="F209" s="80"/>
    </row>
    <row r="210" spans="1:6" ht="18.75" x14ac:dyDescent="0.25">
      <c r="A210" s="77">
        <v>183</v>
      </c>
      <c r="B210" s="78" t="s">
        <v>271</v>
      </c>
      <c r="C210" s="79">
        <v>98.5</v>
      </c>
      <c r="D210" s="79">
        <v>99.4</v>
      </c>
      <c r="E210" s="79">
        <v>103</v>
      </c>
      <c r="F210" s="80"/>
    </row>
    <row r="211" spans="1:6" ht="18.75" x14ac:dyDescent="0.25">
      <c r="A211" s="77">
        <v>184</v>
      </c>
      <c r="B211" s="78" t="s">
        <v>272</v>
      </c>
      <c r="C211" s="79">
        <v>88.2</v>
      </c>
      <c r="D211" s="79">
        <v>89.1</v>
      </c>
      <c r="E211" s="79">
        <v>92.6</v>
      </c>
      <c r="F211" s="80"/>
    </row>
    <row r="212" spans="1:6" ht="18.75" x14ac:dyDescent="0.25">
      <c r="A212" s="77">
        <v>185</v>
      </c>
      <c r="B212" s="78" t="s">
        <v>273</v>
      </c>
      <c r="C212" s="79">
        <v>84.4</v>
      </c>
      <c r="D212" s="79">
        <v>85.4</v>
      </c>
      <c r="E212" s="79">
        <v>88.9</v>
      </c>
      <c r="F212" s="80"/>
    </row>
    <row r="213" spans="1:6" ht="18.75" x14ac:dyDescent="0.25">
      <c r="A213" s="77">
        <v>186</v>
      </c>
      <c r="B213" s="78" t="s">
        <v>274</v>
      </c>
      <c r="C213" s="79">
        <v>86.8</v>
      </c>
      <c r="D213" s="79">
        <v>87.8</v>
      </c>
      <c r="E213" s="79">
        <v>91.3</v>
      </c>
      <c r="F213" s="80"/>
    </row>
    <row r="214" spans="1:6" ht="18.75" x14ac:dyDescent="0.25">
      <c r="A214" s="77">
        <v>187</v>
      </c>
      <c r="B214" s="78" t="s">
        <v>275</v>
      </c>
      <c r="C214" s="79">
        <v>88.7</v>
      </c>
      <c r="D214" s="79">
        <v>89.6</v>
      </c>
      <c r="E214" s="79">
        <v>93.1</v>
      </c>
      <c r="F214" s="80"/>
    </row>
    <row r="215" spans="1:6" ht="18.75" x14ac:dyDescent="0.25">
      <c r="A215" s="77">
        <v>188</v>
      </c>
      <c r="B215" s="78" t="s">
        <v>276</v>
      </c>
      <c r="C215" s="79">
        <v>85.5</v>
      </c>
      <c r="D215" s="79">
        <v>86.5</v>
      </c>
      <c r="E215" s="79">
        <v>90</v>
      </c>
      <c r="F215" s="80"/>
    </row>
    <row r="216" spans="1:6" ht="18.75" x14ac:dyDescent="0.25">
      <c r="A216" s="77"/>
      <c r="B216" s="82" t="s">
        <v>277</v>
      </c>
      <c r="C216" s="83">
        <f>SUM(C217:C221)</f>
        <v>599.1</v>
      </c>
      <c r="D216" s="83">
        <f>SUM(D217:D221)</f>
        <v>605.00000000000011</v>
      </c>
      <c r="E216" s="83">
        <f>SUM(E217:E221)</f>
        <v>628.20000000000005</v>
      </c>
      <c r="F216" s="80"/>
    </row>
    <row r="217" spans="1:6" ht="18.75" x14ac:dyDescent="0.25">
      <c r="A217" s="77">
        <v>189</v>
      </c>
      <c r="B217" s="78" t="s">
        <v>309</v>
      </c>
      <c r="C217" s="79">
        <v>221</v>
      </c>
      <c r="D217" s="79">
        <v>223.3</v>
      </c>
      <c r="E217" s="79">
        <v>232.2</v>
      </c>
      <c r="F217" s="80"/>
    </row>
    <row r="218" spans="1:6" ht="18.75" x14ac:dyDescent="0.25">
      <c r="A218" s="77">
        <v>190</v>
      </c>
      <c r="B218" s="78" t="s">
        <v>310</v>
      </c>
      <c r="C218" s="79">
        <v>102.5</v>
      </c>
      <c r="D218" s="79">
        <v>103.4</v>
      </c>
      <c r="E218" s="79">
        <v>106.9</v>
      </c>
      <c r="F218" s="80"/>
    </row>
    <row r="219" spans="1:6" ht="18.75" x14ac:dyDescent="0.25">
      <c r="A219" s="77">
        <v>191</v>
      </c>
      <c r="B219" s="78" t="s">
        <v>280</v>
      </c>
      <c r="C219" s="79">
        <v>97.4</v>
      </c>
      <c r="D219" s="79">
        <v>98.3</v>
      </c>
      <c r="E219" s="79">
        <v>101.9</v>
      </c>
      <c r="F219" s="80"/>
    </row>
    <row r="220" spans="1:6" ht="18.75" x14ac:dyDescent="0.25">
      <c r="A220" s="77">
        <v>192</v>
      </c>
      <c r="B220" s="78" t="s">
        <v>281</v>
      </c>
      <c r="C220" s="79">
        <v>97.5</v>
      </c>
      <c r="D220" s="79">
        <v>98.4</v>
      </c>
      <c r="E220" s="79">
        <v>102</v>
      </c>
      <c r="F220" s="80"/>
    </row>
    <row r="221" spans="1:6" ht="18.75" x14ac:dyDescent="0.25">
      <c r="A221" s="77">
        <v>193</v>
      </c>
      <c r="B221" s="78" t="s">
        <v>282</v>
      </c>
      <c r="C221" s="79">
        <v>80.7</v>
      </c>
      <c r="D221" s="79">
        <v>81.599999999999994</v>
      </c>
      <c r="E221" s="79">
        <v>85.2</v>
      </c>
      <c r="F221" s="80"/>
    </row>
    <row r="222" spans="1:6" ht="18.75" x14ac:dyDescent="0.25">
      <c r="A222" s="77">
        <v>194</v>
      </c>
      <c r="B222" s="78" t="s">
        <v>311</v>
      </c>
      <c r="C222" s="79">
        <v>284.8</v>
      </c>
      <c r="D222" s="79">
        <v>287.10000000000002</v>
      </c>
      <c r="E222" s="79">
        <v>296</v>
      </c>
      <c r="F222" s="80"/>
    </row>
    <row r="223" spans="1:6" ht="18.75" x14ac:dyDescent="0.25">
      <c r="A223" s="77">
        <v>195</v>
      </c>
      <c r="B223" s="78" t="s">
        <v>48</v>
      </c>
      <c r="C223" s="79">
        <v>98.9</v>
      </c>
      <c r="D223" s="79">
        <v>99.8</v>
      </c>
      <c r="E223" s="79">
        <v>103.4</v>
      </c>
      <c r="F223" s="80"/>
    </row>
    <row r="224" spans="1:6" ht="39.75" customHeight="1" x14ac:dyDescent="0.25">
      <c r="A224" s="81" t="s">
        <v>58</v>
      </c>
      <c r="B224" s="82" t="s">
        <v>312</v>
      </c>
      <c r="C224" s="85">
        <f>C222+C223+C14+C27+C35+C46+C51+C60+C79+C85+C93+C108+C124+C130+C138+C142+C146+C158+C166+C175+C181+C191+C206+C216+C7+C8+C9+C10+C11+C12+C13</f>
        <v>30033.099999999995</v>
      </c>
      <c r="D224" s="85">
        <f>D222+D223+D14+D27+D35+D46+D51+D60+D79+D85+D93+D108+D124+D130+D138+D142+D146+D158+D166+D175+D181+D191+D206+D216+D7+D8+D9+D10+D11+D12+D13</f>
        <v>30331.800000000007</v>
      </c>
      <c r="E224" s="85">
        <f>E222+E223+E14+E27+E35+E46+E51+E60+E79+E85+E93+E108+E124+E130+E138+E142+E146+E158+E166+E175+E181+E191+E206+E216+E7+E8+E9+E10+E11+E12+E13</f>
        <v>31484.600000000006</v>
      </c>
      <c r="F224" s="80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7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Q47"/>
  <sheetViews>
    <sheetView view="pageBreakPreview" zoomScaleNormal="100" zoomScaleSheetLayoutView="100" workbookViewId="0">
      <selection activeCell="F8" sqref="F8"/>
    </sheetView>
  </sheetViews>
  <sheetFormatPr defaultRowHeight="18.75" x14ac:dyDescent="0.25"/>
  <cols>
    <col min="1" max="1" width="4.140625" style="203" customWidth="1"/>
    <col min="2" max="2" width="7.5703125" style="203" customWidth="1"/>
    <col min="3" max="3" width="53.140625" style="203" customWidth="1"/>
    <col min="4" max="4" width="18.7109375" style="205" customWidth="1"/>
    <col min="5" max="5" width="18.5703125" style="205" customWidth="1"/>
    <col min="6" max="6" width="17.140625" style="205" customWidth="1"/>
    <col min="7" max="256" width="9.140625" style="203"/>
    <col min="257" max="257" width="4.140625" style="203" customWidth="1"/>
    <col min="258" max="258" width="7.5703125" style="203" customWidth="1"/>
    <col min="259" max="259" width="49.5703125" style="203" bestFit="1" customWidth="1"/>
    <col min="260" max="260" width="18.7109375" style="203" customWidth="1"/>
    <col min="261" max="261" width="18.5703125" style="203" customWidth="1"/>
    <col min="262" max="262" width="17.140625" style="203" customWidth="1"/>
    <col min="263" max="512" width="9.140625" style="203"/>
    <col min="513" max="513" width="4.140625" style="203" customWidth="1"/>
    <col min="514" max="514" width="7.5703125" style="203" customWidth="1"/>
    <col min="515" max="515" width="49.5703125" style="203" bestFit="1" customWidth="1"/>
    <col min="516" max="516" width="18.7109375" style="203" customWidth="1"/>
    <col min="517" max="517" width="18.5703125" style="203" customWidth="1"/>
    <col min="518" max="518" width="17.140625" style="203" customWidth="1"/>
    <col min="519" max="768" width="9.140625" style="203"/>
    <col min="769" max="769" width="4.140625" style="203" customWidth="1"/>
    <col min="770" max="770" width="7.5703125" style="203" customWidth="1"/>
    <col min="771" max="771" width="49.5703125" style="203" bestFit="1" customWidth="1"/>
    <col min="772" max="772" width="18.7109375" style="203" customWidth="1"/>
    <col min="773" max="773" width="18.5703125" style="203" customWidth="1"/>
    <col min="774" max="774" width="17.140625" style="203" customWidth="1"/>
    <col min="775" max="1024" width="9.140625" style="203"/>
    <col min="1025" max="1025" width="4.140625" style="203" customWidth="1"/>
    <col min="1026" max="1026" width="7.5703125" style="203" customWidth="1"/>
    <col min="1027" max="1027" width="49.5703125" style="203" bestFit="1" customWidth="1"/>
    <col min="1028" max="1028" width="18.7109375" style="203" customWidth="1"/>
    <col min="1029" max="1029" width="18.5703125" style="203" customWidth="1"/>
    <col min="1030" max="1030" width="17.140625" style="203" customWidth="1"/>
    <col min="1031" max="1280" width="9.140625" style="203"/>
    <col min="1281" max="1281" width="4.140625" style="203" customWidth="1"/>
    <col min="1282" max="1282" width="7.5703125" style="203" customWidth="1"/>
    <col min="1283" max="1283" width="49.5703125" style="203" bestFit="1" customWidth="1"/>
    <col min="1284" max="1284" width="18.7109375" style="203" customWidth="1"/>
    <col min="1285" max="1285" width="18.5703125" style="203" customWidth="1"/>
    <col min="1286" max="1286" width="17.140625" style="203" customWidth="1"/>
    <col min="1287" max="1536" width="9.140625" style="203"/>
    <col min="1537" max="1537" width="4.140625" style="203" customWidth="1"/>
    <col min="1538" max="1538" width="7.5703125" style="203" customWidth="1"/>
    <col min="1539" max="1539" width="49.5703125" style="203" bestFit="1" customWidth="1"/>
    <col min="1540" max="1540" width="18.7109375" style="203" customWidth="1"/>
    <col min="1541" max="1541" width="18.5703125" style="203" customWidth="1"/>
    <col min="1542" max="1542" width="17.140625" style="203" customWidth="1"/>
    <col min="1543" max="1792" width="9.140625" style="203"/>
    <col min="1793" max="1793" width="4.140625" style="203" customWidth="1"/>
    <col min="1794" max="1794" width="7.5703125" style="203" customWidth="1"/>
    <col min="1795" max="1795" width="49.5703125" style="203" bestFit="1" customWidth="1"/>
    <col min="1796" max="1796" width="18.7109375" style="203" customWidth="1"/>
    <col min="1797" max="1797" width="18.5703125" style="203" customWidth="1"/>
    <col min="1798" max="1798" width="17.140625" style="203" customWidth="1"/>
    <col min="1799" max="2048" width="9.140625" style="203"/>
    <col min="2049" max="2049" width="4.140625" style="203" customWidth="1"/>
    <col min="2050" max="2050" width="7.5703125" style="203" customWidth="1"/>
    <col min="2051" max="2051" width="49.5703125" style="203" bestFit="1" customWidth="1"/>
    <col min="2052" max="2052" width="18.7109375" style="203" customWidth="1"/>
    <col min="2053" max="2053" width="18.5703125" style="203" customWidth="1"/>
    <col min="2054" max="2054" width="17.140625" style="203" customWidth="1"/>
    <col min="2055" max="2304" width="9.140625" style="203"/>
    <col min="2305" max="2305" width="4.140625" style="203" customWidth="1"/>
    <col min="2306" max="2306" width="7.5703125" style="203" customWidth="1"/>
    <col min="2307" max="2307" width="49.5703125" style="203" bestFit="1" customWidth="1"/>
    <col min="2308" max="2308" width="18.7109375" style="203" customWidth="1"/>
    <col min="2309" max="2309" width="18.5703125" style="203" customWidth="1"/>
    <col min="2310" max="2310" width="17.140625" style="203" customWidth="1"/>
    <col min="2311" max="2560" width="9.140625" style="203"/>
    <col min="2561" max="2561" width="4.140625" style="203" customWidth="1"/>
    <col min="2562" max="2562" width="7.5703125" style="203" customWidth="1"/>
    <col min="2563" max="2563" width="49.5703125" style="203" bestFit="1" customWidth="1"/>
    <col min="2564" max="2564" width="18.7109375" style="203" customWidth="1"/>
    <col min="2565" max="2565" width="18.5703125" style="203" customWidth="1"/>
    <col min="2566" max="2566" width="17.140625" style="203" customWidth="1"/>
    <col min="2567" max="2816" width="9.140625" style="203"/>
    <col min="2817" max="2817" width="4.140625" style="203" customWidth="1"/>
    <col min="2818" max="2818" width="7.5703125" style="203" customWidth="1"/>
    <col min="2819" max="2819" width="49.5703125" style="203" bestFit="1" customWidth="1"/>
    <col min="2820" max="2820" width="18.7109375" style="203" customWidth="1"/>
    <col min="2821" max="2821" width="18.5703125" style="203" customWidth="1"/>
    <col min="2822" max="2822" width="17.140625" style="203" customWidth="1"/>
    <col min="2823" max="3072" width="9.140625" style="203"/>
    <col min="3073" max="3073" width="4.140625" style="203" customWidth="1"/>
    <col min="3074" max="3074" width="7.5703125" style="203" customWidth="1"/>
    <col min="3075" max="3075" width="49.5703125" style="203" bestFit="1" customWidth="1"/>
    <col min="3076" max="3076" width="18.7109375" style="203" customWidth="1"/>
    <col min="3077" max="3077" width="18.5703125" style="203" customWidth="1"/>
    <col min="3078" max="3078" width="17.140625" style="203" customWidth="1"/>
    <col min="3079" max="3328" width="9.140625" style="203"/>
    <col min="3329" max="3329" width="4.140625" style="203" customWidth="1"/>
    <col min="3330" max="3330" width="7.5703125" style="203" customWidth="1"/>
    <col min="3331" max="3331" width="49.5703125" style="203" bestFit="1" customWidth="1"/>
    <col min="3332" max="3332" width="18.7109375" style="203" customWidth="1"/>
    <col min="3333" max="3333" width="18.5703125" style="203" customWidth="1"/>
    <col min="3334" max="3334" width="17.140625" style="203" customWidth="1"/>
    <col min="3335" max="3584" width="9.140625" style="203"/>
    <col min="3585" max="3585" width="4.140625" style="203" customWidth="1"/>
    <col min="3586" max="3586" width="7.5703125" style="203" customWidth="1"/>
    <col min="3587" max="3587" width="49.5703125" style="203" bestFit="1" customWidth="1"/>
    <col min="3588" max="3588" width="18.7109375" style="203" customWidth="1"/>
    <col min="3589" max="3589" width="18.5703125" style="203" customWidth="1"/>
    <col min="3590" max="3590" width="17.140625" style="203" customWidth="1"/>
    <col min="3591" max="3840" width="9.140625" style="203"/>
    <col min="3841" max="3841" width="4.140625" style="203" customWidth="1"/>
    <col min="3842" max="3842" width="7.5703125" style="203" customWidth="1"/>
    <col min="3843" max="3843" width="49.5703125" style="203" bestFit="1" customWidth="1"/>
    <col min="3844" max="3844" width="18.7109375" style="203" customWidth="1"/>
    <col min="3845" max="3845" width="18.5703125" style="203" customWidth="1"/>
    <col min="3846" max="3846" width="17.140625" style="203" customWidth="1"/>
    <col min="3847" max="4096" width="9.140625" style="203"/>
    <col min="4097" max="4097" width="4.140625" style="203" customWidth="1"/>
    <col min="4098" max="4098" width="7.5703125" style="203" customWidth="1"/>
    <col min="4099" max="4099" width="49.5703125" style="203" bestFit="1" customWidth="1"/>
    <col min="4100" max="4100" width="18.7109375" style="203" customWidth="1"/>
    <col min="4101" max="4101" width="18.5703125" style="203" customWidth="1"/>
    <col min="4102" max="4102" width="17.140625" style="203" customWidth="1"/>
    <col min="4103" max="4352" width="9.140625" style="203"/>
    <col min="4353" max="4353" width="4.140625" style="203" customWidth="1"/>
    <col min="4354" max="4354" width="7.5703125" style="203" customWidth="1"/>
    <col min="4355" max="4355" width="49.5703125" style="203" bestFit="1" customWidth="1"/>
    <col min="4356" max="4356" width="18.7109375" style="203" customWidth="1"/>
    <col min="4357" max="4357" width="18.5703125" style="203" customWidth="1"/>
    <col min="4358" max="4358" width="17.140625" style="203" customWidth="1"/>
    <col min="4359" max="4608" width="9.140625" style="203"/>
    <col min="4609" max="4609" width="4.140625" style="203" customWidth="1"/>
    <col min="4610" max="4610" width="7.5703125" style="203" customWidth="1"/>
    <col min="4611" max="4611" width="49.5703125" style="203" bestFit="1" customWidth="1"/>
    <col min="4612" max="4612" width="18.7109375" style="203" customWidth="1"/>
    <col min="4613" max="4613" width="18.5703125" style="203" customWidth="1"/>
    <col min="4614" max="4614" width="17.140625" style="203" customWidth="1"/>
    <col min="4615" max="4864" width="9.140625" style="203"/>
    <col min="4865" max="4865" width="4.140625" style="203" customWidth="1"/>
    <col min="4866" max="4866" width="7.5703125" style="203" customWidth="1"/>
    <col min="4867" max="4867" width="49.5703125" style="203" bestFit="1" customWidth="1"/>
    <col min="4868" max="4868" width="18.7109375" style="203" customWidth="1"/>
    <col min="4869" max="4869" width="18.5703125" style="203" customWidth="1"/>
    <col min="4870" max="4870" width="17.140625" style="203" customWidth="1"/>
    <col min="4871" max="5120" width="9.140625" style="203"/>
    <col min="5121" max="5121" width="4.140625" style="203" customWidth="1"/>
    <col min="5122" max="5122" width="7.5703125" style="203" customWidth="1"/>
    <col min="5123" max="5123" width="49.5703125" style="203" bestFit="1" customWidth="1"/>
    <col min="5124" max="5124" width="18.7109375" style="203" customWidth="1"/>
    <col min="5125" max="5125" width="18.5703125" style="203" customWidth="1"/>
    <col min="5126" max="5126" width="17.140625" style="203" customWidth="1"/>
    <col min="5127" max="5376" width="9.140625" style="203"/>
    <col min="5377" max="5377" width="4.140625" style="203" customWidth="1"/>
    <col min="5378" max="5378" width="7.5703125" style="203" customWidth="1"/>
    <col min="5379" max="5379" width="49.5703125" style="203" bestFit="1" customWidth="1"/>
    <col min="5380" max="5380" width="18.7109375" style="203" customWidth="1"/>
    <col min="5381" max="5381" width="18.5703125" style="203" customWidth="1"/>
    <col min="5382" max="5382" width="17.140625" style="203" customWidth="1"/>
    <col min="5383" max="5632" width="9.140625" style="203"/>
    <col min="5633" max="5633" width="4.140625" style="203" customWidth="1"/>
    <col min="5634" max="5634" width="7.5703125" style="203" customWidth="1"/>
    <col min="5635" max="5635" width="49.5703125" style="203" bestFit="1" customWidth="1"/>
    <col min="5636" max="5636" width="18.7109375" style="203" customWidth="1"/>
    <col min="5637" max="5637" width="18.5703125" style="203" customWidth="1"/>
    <col min="5638" max="5638" width="17.140625" style="203" customWidth="1"/>
    <col min="5639" max="5888" width="9.140625" style="203"/>
    <col min="5889" max="5889" width="4.140625" style="203" customWidth="1"/>
    <col min="5890" max="5890" width="7.5703125" style="203" customWidth="1"/>
    <col min="5891" max="5891" width="49.5703125" style="203" bestFit="1" customWidth="1"/>
    <col min="5892" max="5892" width="18.7109375" style="203" customWidth="1"/>
    <col min="5893" max="5893" width="18.5703125" style="203" customWidth="1"/>
    <col min="5894" max="5894" width="17.140625" style="203" customWidth="1"/>
    <col min="5895" max="6144" width="9.140625" style="203"/>
    <col min="6145" max="6145" width="4.140625" style="203" customWidth="1"/>
    <col min="6146" max="6146" width="7.5703125" style="203" customWidth="1"/>
    <col min="6147" max="6147" width="49.5703125" style="203" bestFit="1" customWidth="1"/>
    <col min="6148" max="6148" width="18.7109375" style="203" customWidth="1"/>
    <col min="6149" max="6149" width="18.5703125" style="203" customWidth="1"/>
    <col min="6150" max="6150" width="17.140625" style="203" customWidth="1"/>
    <col min="6151" max="6400" width="9.140625" style="203"/>
    <col min="6401" max="6401" width="4.140625" style="203" customWidth="1"/>
    <col min="6402" max="6402" width="7.5703125" style="203" customWidth="1"/>
    <col min="6403" max="6403" width="49.5703125" style="203" bestFit="1" customWidth="1"/>
    <col min="6404" max="6404" width="18.7109375" style="203" customWidth="1"/>
    <col min="6405" max="6405" width="18.5703125" style="203" customWidth="1"/>
    <col min="6406" max="6406" width="17.140625" style="203" customWidth="1"/>
    <col min="6407" max="6656" width="9.140625" style="203"/>
    <col min="6657" max="6657" width="4.140625" style="203" customWidth="1"/>
    <col min="6658" max="6658" width="7.5703125" style="203" customWidth="1"/>
    <col min="6659" max="6659" width="49.5703125" style="203" bestFit="1" customWidth="1"/>
    <col min="6660" max="6660" width="18.7109375" style="203" customWidth="1"/>
    <col min="6661" max="6661" width="18.5703125" style="203" customWidth="1"/>
    <col min="6662" max="6662" width="17.140625" style="203" customWidth="1"/>
    <col min="6663" max="6912" width="9.140625" style="203"/>
    <col min="6913" max="6913" width="4.140625" style="203" customWidth="1"/>
    <col min="6914" max="6914" width="7.5703125" style="203" customWidth="1"/>
    <col min="6915" max="6915" width="49.5703125" style="203" bestFit="1" customWidth="1"/>
    <col min="6916" max="6916" width="18.7109375" style="203" customWidth="1"/>
    <col min="6917" max="6917" width="18.5703125" style="203" customWidth="1"/>
    <col min="6918" max="6918" width="17.140625" style="203" customWidth="1"/>
    <col min="6919" max="7168" width="9.140625" style="203"/>
    <col min="7169" max="7169" width="4.140625" style="203" customWidth="1"/>
    <col min="7170" max="7170" width="7.5703125" style="203" customWidth="1"/>
    <col min="7171" max="7171" width="49.5703125" style="203" bestFit="1" customWidth="1"/>
    <col min="7172" max="7172" width="18.7109375" style="203" customWidth="1"/>
    <col min="7173" max="7173" width="18.5703125" style="203" customWidth="1"/>
    <col min="7174" max="7174" width="17.140625" style="203" customWidth="1"/>
    <col min="7175" max="7424" width="9.140625" style="203"/>
    <col min="7425" max="7425" width="4.140625" style="203" customWidth="1"/>
    <col min="7426" max="7426" width="7.5703125" style="203" customWidth="1"/>
    <col min="7427" max="7427" width="49.5703125" style="203" bestFit="1" customWidth="1"/>
    <col min="7428" max="7428" width="18.7109375" style="203" customWidth="1"/>
    <col min="7429" max="7429" width="18.5703125" style="203" customWidth="1"/>
    <col min="7430" max="7430" width="17.140625" style="203" customWidth="1"/>
    <col min="7431" max="7680" width="9.140625" style="203"/>
    <col min="7681" max="7681" width="4.140625" style="203" customWidth="1"/>
    <col min="7682" max="7682" width="7.5703125" style="203" customWidth="1"/>
    <col min="7683" max="7683" width="49.5703125" style="203" bestFit="1" customWidth="1"/>
    <col min="7684" max="7684" width="18.7109375" style="203" customWidth="1"/>
    <col min="7685" max="7685" width="18.5703125" style="203" customWidth="1"/>
    <col min="7686" max="7686" width="17.140625" style="203" customWidth="1"/>
    <col min="7687" max="7936" width="9.140625" style="203"/>
    <col min="7937" max="7937" width="4.140625" style="203" customWidth="1"/>
    <col min="7938" max="7938" width="7.5703125" style="203" customWidth="1"/>
    <col min="7939" max="7939" width="49.5703125" style="203" bestFit="1" customWidth="1"/>
    <col min="7940" max="7940" width="18.7109375" style="203" customWidth="1"/>
    <col min="7941" max="7941" width="18.5703125" style="203" customWidth="1"/>
    <col min="7942" max="7942" width="17.140625" style="203" customWidth="1"/>
    <col min="7943" max="8192" width="9.140625" style="203"/>
    <col min="8193" max="8193" width="4.140625" style="203" customWidth="1"/>
    <col min="8194" max="8194" width="7.5703125" style="203" customWidth="1"/>
    <col min="8195" max="8195" width="49.5703125" style="203" bestFit="1" customWidth="1"/>
    <col min="8196" max="8196" width="18.7109375" style="203" customWidth="1"/>
    <col min="8197" max="8197" width="18.5703125" style="203" customWidth="1"/>
    <col min="8198" max="8198" width="17.140625" style="203" customWidth="1"/>
    <col min="8199" max="8448" width="9.140625" style="203"/>
    <col min="8449" max="8449" width="4.140625" style="203" customWidth="1"/>
    <col min="8450" max="8450" width="7.5703125" style="203" customWidth="1"/>
    <col min="8451" max="8451" width="49.5703125" style="203" bestFit="1" customWidth="1"/>
    <col min="8452" max="8452" width="18.7109375" style="203" customWidth="1"/>
    <col min="8453" max="8453" width="18.5703125" style="203" customWidth="1"/>
    <col min="8454" max="8454" width="17.140625" style="203" customWidth="1"/>
    <col min="8455" max="8704" width="9.140625" style="203"/>
    <col min="8705" max="8705" width="4.140625" style="203" customWidth="1"/>
    <col min="8706" max="8706" width="7.5703125" style="203" customWidth="1"/>
    <col min="8707" max="8707" width="49.5703125" style="203" bestFit="1" customWidth="1"/>
    <col min="8708" max="8708" width="18.7109375" style="203" customWidth="1"/>
    <col min="8709" max="8709" width="18.5703125" style="203" customWidth="1"/>
    <col min="8710" max="8710" width="17.140625" style="203" customWidth="1"/>
    <col min="8711" max="8960" width="9.140625" style="203"/>
    <col min="8961" max="8961" width="4.140625" style="203" customWidth="1"/>
    <col min="8962" max="8962" width="7.5703125" style="203" customWidth="1"/>
    <col min="8963" max="8963" width="49.5703125" style="203" bestFit="1" customWidth="1"/>
    <col min="8964" max="8964" width="18.7109375" style="203" customWidth="1"/>
    <col min="8965" max="8965" width="18.5703125" style="203" customWidth="1"/>
    <col min="8966" max="8966" width="17.140625" style="203" customWidth="1"/>
    <col min="8967" max="9216" width="9.140625" style="203"/>
    <col min="9217" max="9217" width="4.140625" style="203" customWidth="1"/>
    <col min="9218" max="9218" width="7.5703125" style="203" customWidth="1"/>
    <col min="9219" max="9219" width="49.5703125" style="203" bestFit="1" customWidth="1"/>
    <col min="9220" max="9220" width="18.7109375" style="203" customWidth="1"/>
    <col min="9221" max="9221" width="18.5703125" style="203" customWidth="1"/>
    <col min="9222" max="9222" width="17.140625" style="203" customWidth="1"/>
    <col min="9223" max="9472" width="9.140625" style="203"/>
    <col min="9473" max="9473" width="4.140625" style="203" customWidth="1"/>
    <col min="9474" max="9474" width="7.5703125" style="203" customWidth="1"/>
    <col min="9475" max="9475" width="49.5703125" style="203" bestFit="1" customWidth="1"/>
    <col min="9476" max="9476" width="18.7109375" style="203" customWidth="1"/>
    <col min="9477" max="9477" width="18.5703125" style="203" customWidth="1"/>
    <col min="9478" max="9478" width="17.140625" style="203" customWidth="1"/>
    <col min="9479" max="9728" width="9.140625" style="203"/>
    <col min="9729" max="9729" width="4.140625" style="203" customWidth="1"/>
    <col min="9730" max="9730" width="7.5703125" style="203" customWidth="1"/>
    <col min="9731" max="9731" width="49.5703125" style="203" bestFit="1" customWidth="1"/>
    <col min="9732" max="9732" width="18.7109375" style="203" customWidth="1"/>
    <col min="9733" max="9733" width="18.5703125" style="203" customWidth="1"/>
    <col min="9734" max="9734" width="17.140625" style="203" customWidth="1"/>
    <col min="9735" max="9984" width="9.140625" style="203"/>
    <col min="9985" max="9985" width="4.140625" style="203" customWidth="1"/>
    <col min="9986" max="9986" width="7.5703125" style="203" customWidth="1"/>
    <col min="9987" max="9987" width="49.5703125" style="203" bestFit="1" customWidth="1"/>
    <col min="9988" max="9988" width="18.7109375" style="203" customWidth="1"/>
    <col min="9989" max="9989" width="18.5703125" style="203" customWidth="1"/>
    <col min="9990" max="9990" width="17.140625" style="203" customWidth="1"/>
    <col min="9991" max="10240" width="9.140625" style="203"/>
    <col min="10241" max="10241" width="4.140625" style="203" customWidth="1"/>
    <col min="10242" max="10242" width="7.5703125" style="203" customWidth="1"/>
    <col min="10243" max="10243" width="49.5703125" style="203" bestFit="1" customWidth="1"/>
    <col min="10244" max="10244" width="18.7109375" style="203" customWidth="1"/>
    <col min="10245" max="10245" width="18.5703125" style="203" customWidth="1"/>
    <col min="10246" max="10246" width="17.140625" style="203" customWidth="1"/>
    <col min="10247" max="10496" width="9.140625" style="203"/>
    <col min="10497" max="10497" width="4.140625" style="203" customWidth="1"/>
    <col min="10498" max="10498" width="7.5703125" style="203" customWidth="1"/>
    <col min="10499" max="10499" width="49.5703125" style="203" bestFit="1" customWidth="1"/>
    <col min="10500" max="10500" width="18.7109375" style="203" customWidth="1"/>
    <col min="10501" max="10501" width="18.5703125" style="203" customWidth="1"/>
    <col min="10502" max="10502" width="17.140625" style="203" customWidth="1"/>
    <col min="10503" max="10752" width="9.140625" style="203"/>
    <col min="10753" max="10753" width="4.140625" style="203" customWidth="1"/>
    <col min="10754" max="10754" width="7.5703125" style="203" customWidth="1"/>
    <col min="10755" max="10755" width="49.5703125" style="203" bestFit="1" customWidth="1"/>
    <col min="10756" max="10756" width="18.7109375" style="203" customWidth="1"/>
    <col min="10757" max="10757" width="18.5703125" style="203" customWidth="1"/>
    <col min="10758" max="10758" width="17.140625" style="203" customWidth="1"/>
    <col min="10759" max="11008" width="9.140625" style="203"/>
    <col min="11009" max="11009" width="4.140625" style="203" customWidth="1"/>
    <col min="11010" max="11010" width="7.5703125" style="203" customWidth="1"/>
    <col min="11011" max="11011" width="49.5703125" style="203" bestFit="1" customWidth="1"/>
    <col min="11012" max="11012" width="18.7109375" style="203" customWidth="1"/>
    <col min="11013" max="11013" width="18.5703125" style="203" customWidth="1"/>
    <col min="11014" max="11014" width="17.140625" style="203" customWidth="1"/>
    <col min="11015" max="11264" width="9.140625" style="203"/>
    <col min="11265" max="11265" width="4.140625" style="203" customWidth="1"/>
    <col min="11266" max="11266" width="7.5703125" style="203" customWidth="1"/>
    <col min="11267" max="11267" width="49.5703125" style="203" bestFit="1" customWidth="1"/>
    <col min="11268" max="11268" width="18.7109375" style="203" customWidth="1"/>
    <col min="11269" max="11269" width="18.5703125" style="203" customWidth="1"/>
    <col min="11270" max="11270" width="17.140625" style="203" customWidth="1"/>
    <col min="11271" max="11520" width="9.140625" style="203"/>
    <col min="11521" max="11521" width="4.140625" style="203" customWidth="1"/>
    <col min="11522" max="11522" width="7.5703125" style="203" customWidth="1"/>
    <col min="11523" max="11523" width="49.5703125" style="203" bestFit="1" customWidth="1"/>
    <col min="11524" max="11524" width="18.7109375" style="203" customWidth="1"/>
    <col min="11525" max="11525" width="18.5703125" style="203" customWidth="1"/>
    <col min="11526" max="11526" width="17.140625" style="203" customWidth="1"/>
    <col min="11527" max="11776" width="9.140625" style="203"/>
    <col min="11777" max="11777" width="4.140625" style="203" customWidth="1"/>
    <col min="11778" max="11778" width="7.5703125" style="203" customWidth="1"/>
    <col min="11779" max="11779" width="49.5703125" style="203" bestFit="1" customWidth="1"/>
    <col min="11780" max="11780" width="18.7109375" style="203" customWidth="1"/>
    <col min="11781" max="11781" width="18.5703125" style="203" customWidth="1"/>
    <col min="11782" max="11782" width="17.140625" style="203" customWidth="1"/>
    <col min="11783" max="12032" width="9.140625" style="203"/>
    <col min="12033" max="12033" width="4.140625" style="203" customWidth="1"/>
    <col min="12034" max="12034" width="7.5703125" style="203" customWidth="1"/>
    <col min="12035" max="12035" width="49.5703125" style="203" bestFit="1" customWidth="1"/>
    <col min="12036" max="12036" width="18.7109375" style="203" customWidth="1"/>
    <col min="12037" max="12037" width="18.5703125" style="203" customWidth="1"/>
    <col min="12038" max="12038" width="17.140625" style="203" customWidth="1"/>
    <col min="12039" max="12288" width="9.140625" style="203"/>
    <col min="12289" max="12289" width="4.140625" style="203" customWidth="1"/>
    <col min="12290" max="12290" width="7.5703125" style="203" customWidth="1"/>
    <col min="12291" max="12291" width="49.5703125" style="203" bestFit="1" customWidth="1"/>
    <col min="12292" max="12292" width="18.7109375" style="203" customWidth="1"/>
    <col min="12293" max="12293" width="18.5703125" style="203" customWidth="1"/>
    <col min="12294" max="12294" width="17.140625" style="203" customWidth="1"/>
    <col min="12295" max="12544" width="9.140625" style="203"/>
    <col min="12545" max="12545" width="4.140625" style="203" customWidth="1"/>
    <col min="12546" max="12546" width="7.5703125" style="203" customWidth="1"/>
    <col min="12547" max="12547" width="49.5703125" style="203" bestFit="1" customWidth="1"/>
    <col min="12548" max="12548" width="18.7109375" style="203" customWidth="1"/>
    <col min="12549" max="12549" width="18.5703125" style="203" customWidth="1"/>
    <col min="12550" max="12550" width="17.140625" style="203" customWidth="1"/>
    <col min="12551" max="12800" width="9.140625" style="203"/>
    <col min="12801" max="12801" width="4.140625" style="203" customWidth="1"/>
    <col min="12802" max="12802" width="7.5703125" style="203" customWidth="1"/>
    <col min="12803" max="12803" width="49.5703125" style="203" bestFit="1" customWidth="1"/>
    <col min="12804" max="12804" width="18.7109375" style="203" customWidth="1"/>
    <col min="12805" max="12805" width="18.5703125" style="203" customWidth="1"/>
    <col min="12806" max="12806" width="17.140625" style="203" customWidth="1"/>
    <col min="12807" max="13056" width="9.140625" style="203"/>
    <col min="13057" max="13057" width="4.140625" style="203" customWidth="1"/>
    <col min="13058" max="13058" width="7.5703125" style="203" customWidth="1"/>
    <col min="13059" max="13059" width="49.5703125" style="203" bestFit="1" customWidth="1"/>
    <col min="13060" max="13060" width="18.7109375" style="203" customWidth="1"/>
    <col min="13061" max="13061" width="18.5703125" style="203" customWidth="1"/>
    <col min="13062" max="13062" width="17.140625" style="203" customWidth="1"/>
    <col min="13063" max="13312" width="9.140625" style="203"/>
    <col min="13313" max="13313" width="4.140625" style="203" customWidth="1"/>
    <col min="13314" max="13314" width="7.5703125" style="203" customWidth="1"/>
    <col min="13315" max="13315" width="49.5703125" style="203" bestFit="1" customWidth="1"/>
    <col min="13316" max="13316" width="18.7109375" style="203" customWidth="1"/>
    <col min="13317" max="13317" width="18.5703125" style="203" customWidth="1"/>
    <col min="13318" max="13318" width="17.140625" style="203" customWidth="1"/>
    <col min="13319" max="13568" width="9.140625" style="203"/>
    <col min="13569" max="13569" width="4.140625" style="203" customWidth="1"/>
    <col min="13570" max="13570" width="7.5703125" style="203" customWidth="1"/>
    <col min="13571" max="13571" width="49.5703125" style="203" bestFit="1" customWidth="1"/>
    <col min="13572" max="13572" width="18.7109375" style="203" customWidth="1"/>
    <col min="13573" max="13573" width="18.5703125" style="203" customWidth="1"/>
    <col min="13574" max="13574" width="17.140625" style="203" customWidth="1"/>
    <col min="13575" max="13824" width="9.140625" style="203"/>
    <col min="13825" max="13825" width="4.140625" style="203" customWidth="1"/>
    <col min="13826" max="13826" width="7.5703125" style="203" customWidth="1"/>
    <col min="13827" max="13827" width="49.5703125" style="203" bestFit="1" customWidth="1"/>
    <col min="13828" max="13828" width="18.7109375" style="203" customWidth="1"/>
    <col min="13829" max="13829" width="18.5703125" style="203" customWidth="1"/>
    <col min="13830" max="13830" width="17.140625" style="203" customWidth="1"/>
    <col min="13831" max="14080" width="9.140625" style="203"/>
    <col min="14081" max="14081" width="4.140625" style="203" customWidth="1"/>
    <col min="14082" max="14082" width="7.5703125" style="203" customWidth="1"/>
    <col min="14083" max="14083" width="49.5703125" style="203" bestFit="1" customWidth="1"/>
    <col min="14084" max="14084" width="18.7109375" style="203" customWidth="1"/>
    <col min="14085" max="14085" width="18.5703125" style="203" customWidth="1"/>
    <col min="14086" max="14086" width="17.140625" style="203" customWidth="1"/>
    <col min="14087" max="14336" width="9.140625" style="203"/>
    <col min="14337" max="14337" width="4.140625" style="203" customWidth="1"/>
    <col min="14338" max="14338" width="7.5703125" style="203" customWidth="1"/>
    <col min="14339" max="14339" width="49.5703125" style="203" bestFit="1" customWidth="1"/>
    <col min="14340" max="14340" width="18.7109375" style="203" customWidth="1"/>
    <col min="14341" max="14341" width="18.5703125" style="203" customWidth="1"/>
    <col min="14342" max="14342" width="17.140625" style="203" customWidth="1"/>
    <col min="14343" max="14592" width="9.140625" style="203"/>
    <col min="14593" max="14593" width="4.140625" style="203" customWidth="1"/>
    <col min="14594" max="14594" width="7.5703125" style="203" customWidth="1"/>
    <col min="14595" max="14595" width="49.5703125" style="203" bestFit="1" customWidth="1"/>
    <col min="14596" max="14596" width="18.7109375" style="203" customWidth="1"/>
    <col min="14597" max="14597" width="18.5703125" style="203" customWidth="1"/>
    <col min="14598" max="14598" width="17.140625" style="203" customWidth="1"/>
    <col min="14599" max="14848" width="9.140625" style="203"/>
    <col min="14849" max="14849" width="4.140625" style="203" customWidth="1"/>
    <col min="14850" max="14850" width="7.5703125" style="203" customWidth="1"/>
    <col min="14851" max="14851" width="49.5703125" style="203" bestFit="1" customWidth="1"/>
    <col min="14852" max="14852" width="18.7109375" style="203" customWidth="1"/>
    <col min="14853" max="14853" width="18.5703125" style="203" customWidth="1"/>
    <col min="14854" max="14854" width="17.140625" style="203" customWidth="1"/>
    <col min="14855" max="15104" width="9.140625" style="203"/>
    <col min="15105" max="15105" width="4.140625" style="203" customWidth="1"/>
    <col min="15106" max="15106" width="7.5703125" style="203" customWidth="1"/>
    <col min="15107" max="15107" width="49.5703125" style="203" bestFit="1" customWidth="1"/>
    <col min="15108" max="15108" width="18.7109375" style="203" customWidth="1"/>
    <col min="15109" max="15109" width="18.5703125" style="203" customWidth="1"/>
    <col min="15110" max="15110" width="17.140625" style="203" customWidth="1"/>
    <col min="15111" max="15360" width="9.140625" style="203"/>
    <col min="15361" max="15361" width="4.140625" style="203" customWidth="1"/>
    <col min="15362" max="15362" width="7.5703125" style="203" customWidth="1"/>
    <col min="15363" max="15363" width="49.5703125" style="203" bestFit="1" customWidth="1"/>
    <col min="15364" max="15364" width="18.7109375" style="203" customWidth="1"/>
    <col min="15365" max="15365" width="18.5703125" style="203" customWidth="1"/>
    <col min="15366" max="15366" width="17.140625" style="203" customWidth="1"/>
    <col min="15367" max="15616" width="9.140625" style="203"/>
    <col min="15617" max="15617" width="4.140625" style="203" customWidth="1"/>
    <col min="15618" max="15618" width="7.5703125" style="203" customWidth="1"/>
    <col min="15619" max="15619" width="49.5703125" style="203" bestFit="1" customWidth="1"/>
    <col min="15620" max="15620" width="18.7109375" style="203" customWidth="1"/>
    <col min="15621" max="15621" width="18.5703125" style="203" customWidth="1"/>
    <col min="15622" max="15622" width="17.140625" style="203" customWidth="1"/>
    <col min="15623" max="15872" width="9.140625" style="203"/>
    <col min="15873" max="15873" width="4.140625" style="203" customWidth="1"/>
    <col min="15874" max="15874" width="7.5703125" style="203" customWidth="1"/>
    <col min="15875" max="15875" width="49.5703125" style="203" bestFit="1" customWidth="1"/>
    <col min="15876" max="15876" width="18.7109375" style="203" customWidth="1"/>
    <col min="15877" max="15877" width="18.5703125" style="203" customWidth="1"/>
    <col min="15878" max="15878" width="17.140625" style="203" customWidth="1"/>
    <col min="15879" max="16128" width="9.140625" style="203"/>
    <col min="16129" max="16129" width="4.140625" style="203" customWidth="1"/>
    <col min="16130" max="16130" width="7.5703125" style="203" customWidth="1"/>
    <col min="16131" max="16131" width="49.5703125" style="203" bestFit="1" customWidth="1"/>
    <col min="16132" max="16132" width="18.7109375" style="203" customWidth="1"/>
    <col min="16133" max="16133" width="18.5703125" style="203" customWidth="1"/>
    <col min="16134" max="16134" width="17.140625" style="203" customWidth="1"/>
    <col min="16135" max="16384" width="9.140625" style="203"/>
  </cols>
  <sheetData>
    <row r="1" spans="2:6" x14ac:dyDescent="0.25">
      <c r="B1" s="612" t="s">
        <v>403</v>
      </c>
      <c r="C1" s="613"/>
      <c r="D1" s="613"/>
      <c r="E1" s="613"/>
      <c r="F1" s="613"/>
    </row>
    <row r="2" spans="2:6" ht="77.25" customHeight="1" x14ac:dyDescent="0.25">
      <c r="B2" s="614" t="s">
        <v>66</v>
      </c>
      <c r="C2" s="614"/>
      <c r="D2" s="614"/>
      <c r="E2" s="614"/>
      <c r="F2" s="614"/>
    </row>
    <row r="3" spans="2:6" ht="18.75" customHeight="1" x14ac:dyDescent="0.25">
      <c r="B3" s="618" t="s">
        <v>51</v>
      </c>
      <c r="C3" s="621" t="s">
        <v>52</v>
      </c>
      <c r="D3" s="615" t="s">
        <v>2</v>
      </c>
      <c r="E3" s="616"/>
      <c r="F3" s="617"/>
    </row>
    <row r="4" spans="2:6" ht="15.75" customHeight="1" x14ac:dyDescent="0.25">
      <c r="B4" s="619"/>
      <c r="C4" s="622"/>
      <c r="D4" s="624" t="s">
        <v>3</v>
      </c>
      <c r="E4" s="615" t="s">
        <v>4</v>
      </c>
      <c r="F4" s="617"/>
    </row>
    <row r="5" spans="2:6" ht="18.75" customHeight="1" x14ac:dyDescent="0.25">
      <c r="B5" s="620"/>
      <c r="C5" s="623"/>
      <c r="D5" s="625"/>
      <c r="E5" s="201" t="s">
        <v>5</v>
      </c>
      <c r="F5" s="202" t="s">
        <v>6</v>
      </c>
    </row>
    <row r="6" spans="2:6" x14ac:dyDescent="0.25">
      <c r="B6" s="86" t="s">
        <v>53</v>
      </c>
      <c r="C6" s="86" t="s">
        <v>54</v>
      </c>
      <c r="D6" s="87" t="s">
        <v>55</v>
      </c>
      <c r="E6" s="87">
        <v>6</v>
      </c>
      <c r="F6" s="88">
        <v>7</v>
      </c>
    </row>
    <row r="7" spans="2:6" x14ac:dyDescent="0.25">
      <c r="B7" s="89">
        <v>1</v>
      </c>
      <c r="C7" s="90" t="s">
        <v>7</v>
      </c>
      <c r="D7" s="91">
        <f>1633199/1000</f>
        <v>1633.1990000000001</v>
      </c>
      <c r="E7" s="92">
        <f>1624390/1000</f>
        <v>1624.39</v>
      </c>
      <c r="F7" s="92">
        <f>1561946/1000</f>
        <v>1561.9459999999999</v>
      </c>
    </row>
    <row r="8" spans="2:6" x14ac:dyDescent="0.25">
      <c r="B8" s="89">
        <f>B7+1</f>
        <v>2</v>
      </c>
      <c r="C8" s="90" t="s">
        <v>8</v>
      </c>
      <c r="D8" s="91">
        <f>1924783/1000</f>
        <v>1924.7829999999999</v>
      </c>
      <c r="E8" s="92">
        <f>1914402/1000</f>
        <v>1914.402</v>
      </c>
      <c r="F8" s="92">
        <f>1840809/1000</f>
        <v>1840.809</v>
      </c>
    </row>
    <row r="9" spans="2:6" x14ac:dyDescent="0.25">
      <c r="B9" s="89">
        <f t="shared" ref="B9:B46" si="0">B8+1</f>
        <v>3</v>
      </c>
      <c r="C9" s="90" t="s">
        <v>10</v>
      </c>
      <c r="D9" s="91">
        <f>1392193/1000</f>
        <v>1392.193</v>
      </c>
      <c r="E9" s="92">
        <f>1384684/1000</f>
        <v>1384.684</v>
      </c>
      <c r="F9" s="92">
        <f>1331454/1000</f>
        <v>1331.454</v>
      </c>
    </row>
    <row r="10" spans="2:6" x14ac:dyDescent="0.25">
      <c r="B10" s="89">
        <f t="shared" si="0"/>
        <v>4</v>
      </c>
      <c r="C10" s="90" t="s">
        <v>11</v>
      </c>
      <c r="D10" s="91">
        <f>2374904/1000</f>
        <v>2374.904</v>
      </c>
      <c r="E10" s="92">
        <f>2362095/1000</f>
        <v>2362.0949999999998</v>
      </c>
      <c r="F10" s="92">
        <f>2271291/1000</f>
        <v>2271.2910000000002</v>
      </c>
    </row>
    <row r="11" spans="2:6" x14ac:dyDescent="0.25">
      <c r="B11" s="89">
        <f t="shared" si="0"/>
        <v>5</v>
      </c>
      <c r="C11" s="90" t="s">
        <v>12</v>
      </c>
      <c r="D11" s="91">
        <f>835973/1000</f>
        <v>835.97299999999996</v>
      </c>
      <c r="E11" s="92">
        <f>831464/1000</f>
        <v>831.46400000000006</v>
      </c>
      <c r="F11" s="92">
        <f>799501/1000</f>
        <v>799.50099999999998</v>
      </c>
    </row>
    <row r="12" spans="2:6" x14ac:dyDescent="0.25">
      <c r="B12" s="89">
        <f t="shared" si="0"/>
        <v>6</v>
      </c>
      <c r="C12" s="90" t="s">
        <v>13</v>
      </c>
      <c r="D12" s="91">
        <f>937146/1000</f>
        <v>937.14599999999996</v>
      </c>
      <c r="E12" s="92">
        <f>932092/1000</f>
        <v>932.09199999999998</v>
      </c>
      <c r="F12" s="92">
        <f>896260/1000</f>
        <v>896.26</v>
      </c>
    </row>
    <row r="13" spans="2:6" x14ac:dyDescent="0.25">
      <c r="B13" s="89">
        <f t="shared" si="0"/>
        <v>7</v>
      </c>
      <c r="C13" s="90" t="s">
        <v>14</v>
      </c>
      <c r="D13" s="91">
        <f>753292/1000</f>
        <v>753.29200000000003</v>
      </c>
      <c r="E13" s="92">
        <f>749229/1000</f>
        <v>749.22900000000004</v>
      </c>
      <c r="F13" s="92">
        <f>720427/1000</f>
        <v>720.42700000000002</v>
      </c>
    </row>
    <row r="14" spans="2:6" x14ac:dyDescent="0.25">
      <c r="B14" s="89">
        <f t="shared" si="0"/>
        <v>8</v>
      </c>
      <c r="C14" s="90" t="s">
        <v>15</v>
      </c>
      <c r="D14" s="91">
        <f>1124407/1000</f>
        <v>1124.4069999999999</v>
      </c>
      <c r="E14" s="92">
        <f>1118343/1000</f>
        <v>1118.3430000000001</v>
      </c>
      <c r="F14" s="92">
        <f>1075352/1000</f>
        <v>1075.3520000000001</v>
      </c>
    </row>
    <row r="15" spans="2:6" x14ac:dyDescent="0.25">
      <c r="B15" s="89">
        <f t="shared" si="0"/>
        <v>9</v>
      </c>
      <c r="C15" s="90" t="s">
        <v>16</v>
      </c>
      <c r="D15" s="91">
        <f>364445/1000</f>
        <v>364.44499999999999</v>
      </c>
      <c r="E15" s="92">
        <f>362479/1000</f>
        <v>362.47899999999998</v>
      </c>
      <c r="F15" s="92">
        <f>348545/1000</f>
        <v>348.54500000000002</v>
      </c>
    </row>
    <row r="16" spans="2:6" x14ac:dyDescent="0.25">
      <c r="B16" s="89">
        <f t="shared" si="0"/>
        <v>10</v>
      </c>
      <c r="C16" s="90" t="s">
        <v>17</v>
      </c>
      <c r="D16" s="91">
        <f>378700/1000</f>
        <v>378.7</v>
      </c>
      <c r="E16" s="92">
        <f>376657/1000</f>
        <v>376.65699999999998</v>
      </c>
      <c r="F16" s="92">
        <f>362178/1000</f>
        <v>362.178</v>
      </c>
    </row>
    <row r="17" spans="2:17" x14ac:dyDescent="0.25">
      <c r="B17" s="89">
        <f t="shared" si="0"/>
        <v>11</v>
      </c>
      <c r="C17" s="90" t="s">
        <v>18</v>
      </c>
      <c r="D17" s="91">
        <f>520284/1000</f>
        <v>520.28399999999999</v>
      </c>
      <c r="E17" s="92">
        <f>517478/1000</f>
        <v>517.47799999999995</v>
      </c>
      <c r="F17" s="92">
        <f>497585/1000</f>
        <v>497.58499999999998</v>
      </c>
    </row>
    <row r="18" spans="2:17" x14ac:dyDescent="0.25">
      <c r="B18" s="89">
        <f t="shared" si="0"/>
        <v>12</v>
      </c>
      <c r="C18" s="90" t="s">
        <v>19</v>
      </c>
      <c r="D18" s="91">
        <f>368174/1000</f>
        <v>368.17399999999998</v>
      </c>
      <c r="E18" s="92">
        <f>366188/1000</f>
        <v>366.18799999999999</v>
      </c>
      <c r="F18" s="92">
        <f>352111/1000</f>
        <v>352.11099999999999</v>
      </c>
    </row>
    <row r="19" spans="2:17" x14ac:dyDescent="0.25">
      <c r="B19" s="89">
        <f t="shared" si="0"/>
        <v>13</v>
      </c>
      <c r="C19" s="90" t="s">
        <v>20</v>
      </c>
      <c r="D19" s="91">
        <f>159579/1000</f>
        <v>159.57900000000001</v>
      </c>
      <c r="E19" s="92">
        <f>158718/1000</f>
        <v>158.71799999999999</v>
      </c>
      <c r="F19" s="92">
        <f>152617/1000</f>
        <v>152.61699999999999</v>
      </c>
      <c r="Q19" s="210"/>
    </row>
    <row r="20" spans="2:17" x14ac:dyDescent="0.25">
      <c r="B20" s="89">
        <f t="shared" si="0"/>
        <v>14</v>
      </c>
      <c r="C20" s="90" t="s">
        <v>21</v>
      </c>
      <c r="D20" s="91">
        <f>383764/1000</f>
        <v>383.76400000000001</v>
      </c>
      <c r="E20" s="92">
        <f>381694/1000</f>
        <v>381.69400000000002</v>
      </c>
      <c r="F20" s="92">
        <f>367021/1000</f>
        <v>367.02100000000002</v>
      </c>
    </row>
    <row r="21" spans="2:17" x14ac:dyDescent="0.25">
      <c r="B21" s="89">
        <f t="shared" si="0"/>
        <v>15</v>
      </c>
      <c r="C21" s="90" t="s">
        <v>22</v>
      </c>
      <c r="D21" s="91">
        <f>196747/1000</f>
        <v>196.74700000000001</v>
      </c>
      <c r="E21" s="92">
        <f>195686/1000</f>
        <v>195.68600000000001</v>
      </c>
      <c r="F21" s="92">
        <f>188164/1000</f>
        <v>188.16399999999999</v>
      </c>
    </row>
    <row r="22" spans="2:17" x14ac:dyDescent="0.25">
      <c r="B22" s="89">
        <f t="shared" si="0"/>
        <v>16</v>
      </c>
      <c r="C22" s="90" t="s">
        <v>23</v>
      </c>
      <c r="D22" s="91">
        <f>206371/1000</f>
        <v>206.37100000000001</v>
      </c>
      <c r="E22" s="92">
        <f>205257/1000</f>
        <v>205.25700000000001</v>
      </c>
      <c r="F22" s="92">
        <f>197367/1000</f>
        <v>197.36699999999999</v>
      </c>
    </row>
    <row r="23" spans="2:17" x14ac:dyDescent="0.25">
      <c r="B23" s="89">
        <f t="shared" si="0"/>
        <v>17</v>
      </c>
      <c r="C23" s="90" t="s">
        <v>24</v>
      </c>
      <c r="D23" s="91">
        <f>403567/1000</f>
        <v>403.56700000000001</v>
      </c>
      <c r="E23" s="92">
        <f>401390/1000</f>
        <v>401.39</v>
      </c>
      <c r="F23" s="92">
        <f>385960/1000</f>
        <v>385.96</v>
      </c>
    </row>
    <row r="24" spans="2:17" x14ac:dyDescent="0.25">
      <c r="B24" s="89">
        <f t="shared" si="0"/>
        <v>18</v>
      </c>
      <c r="C24" s="90" t="s">
        <v>25</v>
      </c>
      <c r="D24" s="91">
        <f>1126708/1000</f>
        <v>1126.7080000000001</v>
      </c>
      <c r="E24" s="92">
        <f>1120631/1000</f>
        <v>1120.6310000000001</v>
      </c>
      <c r="F24" s="92">
        <f>1077551/1000</f>
        <v>1077.5509999999999</v>
      </c>
    </row>
    <row r="25" spans="2:17" x14ac:dyDescent="0.25">
      <c r="B25" s="89">
        <f t="shared" si="0"/>
        <v>19</v>
      </c>
      <c r="C25" s="90" t="s">
        <v>26</v>
      </c>
      <c r="D25" s="91">
        <f>214997/1000</f>
        <v>214.99700000000001</v>
      </c>
      <c r="E25" s="92">
        <f>213837/1000</f>
        <v>213.83699999999999</v>
      </c>
      <c r="F25" s="92">
        <f>205617/1000</f>
        <v>205.61699999999999</v>
      </c>
    </row>
    <row r="26" spans="2:17" x14ac:dyDescent="0.25">
      <c r="B26" s="89">
        <f t="shared" si="0"/>
        <v>20</v>
      </c>
      <c r="C26" s="90" t="s">
        <v>27</v>
      </c>
      <c r="D26" s="91">
        <f>1047625/1000</f>
        <v>1047.625</v>
      </c>
      <c r="E26" s="92">
        <f>1041975/1000</f>
        <v>1041.9749999999999</v>
      </c>
      <c r="F26" s="92">
        <f>1001919/1000</f>
        <v>1001.919</v>
      </c>
    </row>
    <row r="27" spans="2:17" x14ac:dyDescent="0.25">
      <c r="B27" s="89">
        <f t="shared" si="0"/>
        <v>21</v>
      </c>
      <c r="C27" s="90" t="s">
        <v>28</v>
      </c>
      <c r="D27" s="91">
        <f>212464/1000</f>
        <v>212.464</v>
      </c>
      <c r="E27" s="92">
        <f>211318/1000</f>
        <v>211.31800000000001</v>
      </c>
      <c r="F27" s="92">
        <f>203195/1000</f>
        <v>203.19499999999999</v>
      </c>
    </row>
    <row r="28" spans="2:17" x14ac:dyDescent="0.25">
      <c r="B28" s="89">
        <f t="shared" si="0"/>
        <v>22</v>
      </c>
      <c r="C28" s="90" t="s">
        <v>29</v>
      </c>
      <c r="D28" s="91">
        <f>534329/1000</f>
        <v>534.32899999999995</v>
      </c>
      <c r="E28" s="92">
        <f>531447/1000</f>
        <v>531.447</v>
      </c>
      <c r="F28" s="92">
        <f>511017/1000</f>
        <v>511.017</v>
      </c>
    </row>
    <row r="29" spans="2:17" x14ac:dyDescent="0.25">
      <c r="B29" s="89">
        <f t="shared" si="0"/>
        <v>23</v>
      </c>
      <c r="C29" s="90" t="s">
        <v>31</v>
      </c>
      <c r="D29" s="91">
        <f>688517/1000</f>
        <v>688.51700000000005</v>
      </c>
      <c r="E29" s="92">
        <f>684804/1000</f>
        <v>684.80399999999997</v>
      </c>
      <c r="F29" s="92">
        <f>658478/1000</f>
        <v>658.47799999999995</v>
      </c>
    </row>
    <row r="30" spans="2:17" x14ac:dyDescent="0.25">
      <c r="B30" s="89">
        <f t="shared" si="0"/>
        <v>24</v>
      </c>
      <c r="C30" s="90" t="s">
        <v>32</v>
      </c>
      <c r="D30" s="91">
        <f>261546/1000</f>
        <v>261.54599999999999</v>
      </c>
      <c r="E30" s="92">
        <f>260135/1000</f>
        <v>260.13499999999999</v>
      </c>
      <c r="F30" s="92">
        <f>250135/1000</f>
        <v>250.13499999999999</v>
      </c>
    </row>
    <row r="31" spans="2:17" x14ac:dyDescent="0.25">
      <c r="B31" s="89">
        <f t="shared" si="0"/>
        <v>25</v>
      </c>
      <c r="C31" s="90" t="s">
        <v>33</v>
      </c>
      <c r="D31" s="91">
        <f>428620/1000</f>
        <v>428.62</v>
      </c>
      <c r="E31" s="92">
        <f>426309/1000</f>
        <v>426.30900000000003</v>
      </c>
      <c r="F31" s="92">
        <f>409920/1000</f>
        <v>409.92</v>
      </c>
    </row>
    <row r="32" spans="2:17" x14ac:dyDescent="0.25">
      <c r="B32" s="89">
        <f t="shared" si="0"/>
        <v>26</v>
      </c>
      <c r="C32" s="90" t="s">
        <v>34</v>
      </c>
      <c r="D32" s="91">
        <f>2565091/1000</f>
        <v>2565.0909999999999</v>
      </c>
      <c r="E32" s="92">
        <f>2551256/1000</f>
        <v>2551.2559999999999</v>
      </c>
      <c r="F32" s="92">
        <f>2453181/1000</f>
        <v>2453.181</v>
      </c>
    </row>
    <row r="33" spans="2:6" x14ac:dyDescent="0.25">
      <c r="B33" s="89">
        <f t="shared" si="0"/>
        <v>27</v>
      </c>
      <c r="C33" s="90" t="s">
        <v>35</v>
      </c>
      <c r="D33" s="91">
        <f>469454/1000</f>
        <v>469.45400000000001</v>
      </c>
      <c r="E33" s="92">
        <f>466922/1000</f>
        <v>466.92200000000003</v>
      </c>
      <c r="F33" s="92">
        <f>448973/1000</f>
        <v>448.97300000000001</v>
      </c>
    </row>
    <row r="34" spans="2:6" x14ac:dyDescent="0.25">
      <c r="B34" s="89">
        <f t="shared" si="0"/>
        <v>28</v>
      </c>
      <c r="C34" s="90" t="s">
        <v>36</v>
      </c>
      <c r="D34" s="91">
        <f>839102/1000</f>
        <v>839.10199999999998</v>
      </c>
      <c r="E34" s="92">
        <f>834576/1000</f>
        <v>834.57600000000002</v>
      </c>
      <c r="F34" s="92">
        <f>802493/1000</f>
        <v>802.49300000000005</v>
      </c>
    </row>
    <row r="35" spans="2:6" x14ac:dyDescent="0.25">
      <c r="B35" s="89">
        <f t="shared" si="0"/>
        <v>29</v>
      </c>
      <c r="C35" s="90" t="s">
        <v>37</v>
      </c>
      <c r="D35" s="91">
        <f>512878/1000</f>
        <v>512.87800000000004</v>
      </c>
      <c r="E35" s="92">
        <f>510112/1000</f>
        <v>510.11200000000002</v>
      </c>
      <c r="F35" s="92">
        <f>490502/1000</f>
        <v>490.50200000000001</v>
      </c>
    </row>
    <row r="36" spans="2:6" x14ac:dyDescent="0.25">
      <c r="B36" s="89">
        <f t="shared" si="0"/>
        <v>30</v>
      </c>
      <c r="C36" s="90" t="s">
        <v>38</v>
      </c>
      <c r="D36" s="91">
        <f>135743/1000</f>
        <v>135.74299999999999</v>
      </c>
      <c r="E36" s="92">
        <f>135011/1000</f>
        <v>135.011</v>
      </c>
      <c r="F36" s="92">
        <f>129821/1000</f>
        <v>129.821</v>
      </c>
    </row>
    <row r="37" spans="2:6" x14ac:dyDescent="0.25">
      <c r="B37" s="89">
        <f t="shared" si="0"/>
        <v>31</v>
      </c>
      <c r="C37" s="90" t="s">
        <v>39</v>
      </c>
      <c r="D37" s="91">
        <f>461924/1000</f>
        <v>461.92399999999998</v>
      </c>
      <c r="E37" s="92">
        <f>459432/1000</f>
        <v>459.43200000000002</v>
      </c>
      <c r="F37" s="92">
        <f>441771/1000</f>
        <v>441.77100000000002</v>
      </c>
    </row>
    <row r="38" spans="2:6" x14ac:dyDescent="0.25">
      <c r="B38" s="89">
        <f t="shared" si="0"/>
        <v>32</v>
      </c>
      <c r="C38" s="90" t="s">
        <v>40</v>
      </c>
      <c r="D38" s="91">
        <f>405926/1000</f>
        <v>405.92599999999999</v>
      </c>
      <c r="E38" s="92">
        <f>403736/1000</f>
        <v>403.73599999999999</v>
      </c>
      <c r="F38" s="92">
        <f>388216/1000</f>
        <v>388.21600000000001</v>
      </c>
    </row>
    <row r="39" spans="2:6" x14ac:dyDescent="0.25">
      <c r="B39" s="89">
        <f t="shared" si="0"/>
        <v>33</v>
      </c>
      <c r="C39" s="90" t="s">
        <v>41</v>
      </c>
      <c r="D39" s="91">
        <f>253119/1000</f>
        <v>253.119</v>
      </c>
      <c r="E39" s="92">
        <f>251754/1000</f>
        <v>251.75399999999999</v>
      </c>
      <c r="F39" s="92">
        <f>242076/1000</f>
        <v>242.07599999999999</v>
      </c>
    </row>
    <row r="40" spans="2:6" x14ac:dyDescent="0.25">
      <c r="B40" s="89">
        <f t="shared" si="0"/>
        <v>34</v>
      </c>
      <c r="C40" s="90" t="s">
        <v>42</v>
      </c>
      <c r="D40" s="91">
        <f>379825/1000</f>
        <v>379.82499999999999</v>
      </c>
      <c r="E40" s="92">
        <f>377777/1000</f>
        <v>377.77699999999999</v>
      </c>
      <c r="F40" s="92">
        <f>363254/1000</f>
        <v>363.25400000000002</v>
      </c>
    </row>
    <row r="41" spans="2:6" x14ac:dyDescent="0.25">
      <c r="B41" s="89">
        <f t="shared" si="0"/>
        <v>35</v>
      </c>
      <c r="C41" s="90" t="s">
        <v>43</v>
      </c>
      <c r="D41" s="91">
        <f>766294/1000</f>
        <v>766.29399999999998</v>
      </c>
      <c r="E41" s="92">
        <f>762161/1000</f>
        <v>762.16099999999994</v>
      </c>
      <c r="F41" s="92">
        <f>732862/1000</f>
        <v>732.86199999999997</v>
      </c>
    </row>
    <row r="42" spans="2:6" x14ac:dyDescent="0.25">
      <c r="B42" s="89">
        <f t="shared" si="0"/>
        <v>36</v>
      </c>
      <c r="C42" s="90" t="s">
        <v>44</v>
      </c>
      <c r="D42" s="91">
        <f>645405/1000</f>
        <v>645.40499999999997</v>
      </c>
      <c r="E42" s="92">
        <f>641924/1000</f>
        <v>641.92399999999998</v>
      </c>
      <c r="F42" s="92">
        <f>617248/1000</f>
        <v>617.24800000000005</v>
      </c>
    </row>
    <row r="43" spans="2:6" x14ac:dyDescent="0.25">
      <c r="B43" s="89">
        <f t="shared" si="0"/>
        <v>37</v>
      </c>
      <c r="C43" s="90" t="s">
        <v>45</v>
      </c>
      <c r="D43" s="91">
        <f>693198/1000</f>
        <v>693.19799999999998</v>
      </c>
      <c r="E43" s="92">
        <f>689460/1000</f>
        <v>689.46</v>
      </c>
      <c r="F43" s="92">
        <f>662956/1000</f>
        <v>662.95600000000002</v>
      </c>
    </row>
    <row r="44" spans="2:6" x14ac:dyDescent="0.25">
      <c r="B44" s="89">
        <f t="shared" si="0"/>
        <v>38</v>
      </c>
      <c r="C44" s="90" t="s">
        <v>46</v>
      </c>
      <c r="D44" s="91">
        <f>311487/1000</f>
        <v>311.48700000000002</v>
      </c>
      <c r="E44" s="92">
        <f>309807/1000</f>
        <v>309.80700000000002</v>
      </c>
      <c r="F44" s="92">
        <f>297898/1000</f>
        <v>297.89800000000002</v>
      </c>
    </row>
    <row r="45" spans="2:6" x14ac:dyDescent="0.25">
      <c r="B45" s="89">
        <f t="shared" si="0"/>
        <v>39</v>
      </c>
      <c r="C45" s="90" t="s">
        <v>47</v>
      </c>
      <c r="D45" s="91">
        <f>346238/1000</f>
        <v>346.238</v>
      </c>
      <c r="E45" s="92">
        <f>344370/1000</f>
        <v>344.37</v>
      </c>
      <c r="F45" s="92">
        <f>331132/1000</f>
        <v>331.13200000000001</v>
      </c>
    </row>
    <row r="46" spans="2:6" ht="21" customHeight="1" x14ac:dyDescent="0.25">
      <c r="B46" s="89">
        <f t="shared" si="0"/>
        <v>40</v>
      </c>
      <c r="C46" s="90" t="s">
        <v>48</v>
      </c>
      <c r="D46" s="91">
        <f>52382/1000</f>
        <v>52.381999999999998</v>
      </c>
      <c r="E46" s="92">
        <f>52099/1000</f>
        <v>52.098999999999997</v>
      </c>
      <c r="F46" s="92">
        <f>50096/1000</f>
        <v>50.095999999999997</v>
      </c>
    </row>
    <row r="47" spans="2:6" x14ac:dyDescent="0.25">
      <c r="B47" s="204" t="s">
        <v>58</v>
      </c>
      <c r="C47" s="93" t="s">
        <v>49</v>
      </c>
      <c r="D47" s="94">
        <f>SUM(D7:D46)</f>
        <v>27310.400000000001</v>
      </c>
      <c r="E47" s="94">
        <f>SUM(E7:E46)</f>
        <v>27163.098999999995</v>
      </c>
      <c r="F47" s="94">
        <f>SUM(F7:F46)</f>
        <v>26118.899000000005</v>
      </c>
    </row>
  </sheetData>
  <mergeCells count="7">
    <mergeCell ref="B1:F1"/>
    <mergeCell ref="B2:F2"/>
    <mergeCell ref="D3:F3"/>
    <mergeCell ref="B3:B5"/>
    <mergeCell ref="C3:C5"/>
    <mergeCell ref="D4:D5"/>
    <mergeCell ref="E4:F4"/>
  </mergeCells>
  <printOptions horizontalCentered="1"/>
  <pageMargins left="0.59055118110236227" right="0.39370078740157483" top="0.39370078740157483" bottom="0.39370078740157483" header="0" footer="0"/>
  <pageSetup paperSize="9" scale="80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11"/>
  <sheetViews>
    <sheetView view="pageBreakPreview" zoomScaleNormal="100" zoomScaleSheetLayoutView="100" workbookViewId="0">
      <selection activeCell="J27" sqref="J27"/>
    </sheetView>
  </sheetViews>
  <sheetFormatPr defaultColWidth="9.140625" defaultRowHeight="18.75" x14ac:dyDescent="0.25"/>
  <cols>
    <col min="1" max="1" width="9.140625" style="2"/>
    <col min="2" max="2" width="38.42578125" style="2" customWidth="1"/>
    <col min="3" max="4" width="22" style="9" customWidth="1"/>
    <col min="5" max="5" width="23.8554687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1"/>
      <c r="B1" s="450" t="s">
        <v>404</v>
      </c>
      <c r="C1" s="450"/>
      <c r="D1" s="450"/>
      <c r="E1" s="450"/>
    </row>
    <row r="2" spans="1:5" ht="60" customHeight="1" x14ac:dyDescent="0.25">
      <c r="A2" s="451" t="s">
        <v>60</v>
      </c>
      <c r="B2" s="451"/>
      <c r="C2" s="451"/>
      <c r="D2" s="451"/>
      <c r="E2" s="451"/>
    </row>
    <row r="3" spans="1:5" x14ac:dyDescent="0.25">
      <c r="A3" s="1"/>
      <c r="B3" s="3"/>
      <c r="C3" s="4"/>
      <c r="D3" s="4"/>
      <c r="E3" s="5" t="s">
        <v>61</v>
      </c>
    </row>
    <row r="4" spans="1:5" x14ac:dyDescent="0.25">
      <c r="A4" s="452" t="s">
        <v>62</v>
      </c>
      <c r="B4" s="453" t="s">
        <v>52</v>
      </c>
      <c r="C4" s="454" t="s">
        <v>2</v>
      </c>
      <c r="D4" s="455"/>
      <c r="E4" s="455"/>
    </row>
    <row r="5" spans="1:5" x14ac:dyDescent="0.25">
      <c r="A5" s="452"/>
      <c r="B5" s="453"/>
      <c r="C5" s="456" t="s">
        <v>3</v>
      </c>
      <c r="D5" s="458" t="s">
        <v>4</v>
      </c>
      <c r="E5" s="454"/>
    </row>
    <row r="6" spans="1:5" x14ac:dyDescent="0.25">
      <c r="A6" s="452"/>
      <c r="B6" s="453"/>
      <c r="C6" s="457"/>
      <c r="D6" s="107" t="s">
        <v>5</v>
      </c>
      <c r="E6" s="107" t="s">
        <v>6</v>
      </c>
    </row>
    <row r="7" spans="1:5" x14ac:dyDescent="0.25">
      <c r="A7" s="6">
        <v>1</v>
      </c>
      <c r="B7" s="7">
        <v>2</v>
      </c>
      <c r="C7" s="8">
        <v>3</v>
      </c>
      <c r="D7" s="107">
        <v>4</v>
      </c>
      <c r="E7" s="107">
        <v>5</v>
      </c>
    </row>
    <row r="8" spans="1:5" x14ac:dyDescent="0.25">
      <c r="A8" s="10">
        <v>1</v>
      </c>
      <c r="B8" s="14" t="s">
        <v>9</v>
      </c>
      <c r="C8" s="372">
        <v>798000</v>
      </c>
      <c r="D8" s="372">
        <v>798000</v>
      </c>
      <c r="E8" s="372">
        <v>798000</v>
      </c>
    </row>
    <row r="9" spans="1:5" x14ac:dyDescent="0.25">
      <c r="A9" s="204" t="s">
        <v>58</v>
      </c>
      <c r="B9" s="93" t="s">
        <v>49</v>
      </c>
      <c r="C9" s="373">
        <f>C8</f>
        <v>798000</v>
      </c>
      <c r="D9" s="373">
        <f t="shared" ref="D9:E9" si="0">D8</f>
        <v>798000</v>
      </c>
      <c r="E9" s="373">
        <f t="shared" si="0"/>
        <v>798000</v>
      </c>
    </row>
    <row r="10" spans="1:5" x14ac:dyDescent="0.25">
      <c r="A10" s="447"/>
      <c r="B10" s="447"/>
      <c r="C10" s="447"/>
      <c r="D10" s="447"/>
      <c r="E10" s="447"/>
    </row>
    <row r="11" spans="1:5" ht="78.75" customHeight="1" x14ac:dyDescent="0.25">
      <c r="A11" s="448"/>
      <c r="B11" s="449"/>
      <c r="C11" s="449"/>
      <c r="D11" s="449"/>
      <c r="E11" s="449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80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11"/>
  <sheetViews>
    <sheetView view="pageBreakPreview" zoomScaleNormal="100" zoomScaleSheetLayoutView="100" workbookViewId="0">
      <selection activeCell="B8" sqref="B8"/>
    </sheetView>
  </sheetViews>
  <sheetFormatPr defaultColWidth="9.140625" defaultRowHeight="18.75" x14ac:dyDescent="0.25"/>
  <cols>
    <col min="1" max="1" width="9.140625" style="206"/>
    <col min="2" max="2" width="41.42578125" style="206" customWidth="1"/>
    <col min="3" max="4" width="22" style="208" customWidth="1"/>
    <col min="5" max="5" width="23.85546875" style="208" customWidth="1"/>
    <col min="6" max="9" width="9.140625" style="206"/>
    <col min="10" max="10" width="113.140625" style="206" customWidth="1"/>
    <col min="11" max="16384" width="9.140625" style="206"/>
  </cols>
  <sheetData>
    <row r="1" spans="1:5" x14ac:dyDescent="0.25">
      <c r="A1" s="3"/>
      <c r="B1" s="629" t="s">
        <v>454</v>
      </c>
      <c r="C1" s="629"/>
      <c r="D1" s="629"/>
      <c r="E1" s="629"/>
    </row>
    <row r="2" spans="1:5" ht="118.5" customHeight="1" x14ac:dyDescent="0.25">
      <c r="A2" s="451" t="s">
        <v>464</v>
      </c>
      <c r="B2" s="451"/>
      <c r="C2" s="451"/>
      <c r="D2" s="451"/>
      <c r="E2" s="451"/>
    </row>
    <row r="3" spans="1:5" x14ac:dyDescent="0.25">
      <c r="A3" s="3"/>
      <c r="B3" s="3"/>
      <c r="C3" s="4"/>
      <c r="D3" s="4"/>
      <c r="E3" s="4" t="s">
        <v>61</v>
      </c>
    </row>
    <row r="4" spans="1:5" x14ac:dyDescent="0.25">
      <c r="A4" s="453" t="s">
        <v>62</v>
      </c>
      <c r="B4" s="453" t="s">
        <v>52</v>
      </c>
      <c r="C4" s="454" t="s">
        <v>2</v>
      </c>
      <c r="D4" s="455"/>
      <c r="E4" s="455"/>
    </row>
    <row r="5" spans="1:5" x14ac:dyDescent="0.25">
      <c r="A5" s="453"/>
      <c r="B5" s="453"/>
      <c r="C5" s="456" t="s">
        <v>3</v>
      </c>
      <c r="D5" s="458" t="s">
        <v>4</v>
      </c>
      <c r="E5" s="454"/>
    </row>
    <row r="6" spans="1:5" x14ac:dyDescent="0.25">
      <c r="A6" s="453"/>
      <c r="B6" s="453"/>
      <c r="C6" s="457"/>
      <c r="D6" s="107" t="s">
        <v>5</v>
      </c>
      <c r="E6" s="107" t="s">
        <v>6</v>
      </c>
    </row>
    <row r="7" spans="1:5" x14ac:dyDescent="0.25">
      <c r="A7" s="8">
        <v>1</v>
      </c>
      <c r="B7" s="207">
        <v>2</v>
      </c>
      <c r="C7" s="8">
        <v>3</v>
      </c>
      <c r="D7" s="107">
        <v>4</v>
      </c>
      <c r="E7" s="107">
        <v>5</v>
      </c>
    </row>
    <row r="8" spans="1:5" x14ac:dyDescent="0.25">
      <c r="A8" s="10">
        <v>1</v>
      </c>
      <c r="B8" s="14" t="s">
        <v>9</v>
      </c>
      <c r="C8" s="374">
        <v>100000</v>
      </c>
      <c r="D8" s="374">
        <v>100000</v>
      </c>
      <c r="E8" s="29">
        <v>0</v>
      </c>
    </row>
    <row r="9" spans="1:5" x14ac:dyDescent="0.25">
      <c r="A9" s="204" t="s">
        <v>58</v>
      </c>
      <c r="B9" s="93" t="s">
        <v>49</v>
      </c>
      <c r="C9" s="375">
        <f>C8</f>
        <v>100000</v>
      </c>
      <c r="D9" s="375">
        <f t="shared" ref="D9" si="0">D8</f>
        <v>100000</v>
      </c>
      <c r="E9" s="376">
        <v>0</v>
      </c>
    </row>
    <row r="10" spans="1:5" x14ac:dyDescent="0.25">
      <c r="A10" s="626"/>
      <c r="B10" s="626"/>
      <c r="C10" s="626"/>
      <c r="D10" s="626"/>
      <c r="E10" s="626"/>
    </row>
    <row r="11" spans="1:5" ht="78.75" customHeight="1" x14ac:dyDescent="0.25">
      <c r="A11" s="627"/>
      <c r="B11" s="628"/>
      <c r="C11" s="628"/>
      <c r="D11" s="628"/>
      <c r="E11" s="628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78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Q15"/>
  <sheetViews>
    <sheetView view="pageBreakPreview" zoomScaleNormal="100" zoomScaleSheetLayoutView="100" workbookViewId="0">
      <selection activeCell="K18" sqref="K18"/>
    </sheetView>
  </sheetViews>
  <sheetFormatPr defaultRowHeight="18.75" x14ac:dyDescent="0.3"/>
  <cols>
    <col min="1" max="1" width="9.140625" style="147"/>
    <col min="2" max="2" width="44.85546875" style="147" customWidth="1"/>
    <col min="3" max="3" width="16.7109375" style="147" bestFit="1" customWidth="1"/>
    <col min="4" max="4" width="16.28515625" style="147" bestFit="1" customWidth="1"/>
    <col min="5" max="5" width="16.7109375" style="147" bestFit="1" customWidth="1"/>
    <col min="6" max="16384" width="9.140625" style="147"/>
  </cols>
  <sheetData>
    <row r="1" spans="1:17" x14ac:dyDescent="0.3">
      <c r="A1" s="499" t="s">
        <v>482</v>
      </c>
      <c r="B1" s="499"/>
      <c r="C1" s="499"/>
      <c r="D1" s="499"/>
      <c r="E1" s="499"/>
      <c r="F1" s="146"/>
      <c r="G1" s="146"/>
    </row>
    <row r="2" spans="1:17" ht="129" customHeight="1" x14ac:dyDescent="0.3">
      <c r="A2" s="451" t="s">
        <v>483</v>
      </c>
      <c r="B2" s="451"/>
      <c r="C2" s="451"/>
      <c r="D2" s="451"/>
      <c r="E2" s="451"/>
    </row>
    <row r="3" spans="1:17" x14ac:dyDescent="0.3">
      <c r="A3" s="452" t="s">
        <v>62</v>
      </c>
      <c r="B3" s="453" t="s">
        <v>63</v>
      </c>
      <c r="C3" s="453" t="s">
        <v>2</v>
      </c>
      <c r="D3" s="453"/>
      <c r="E3" s="453"/>
    </row>
    <row r="4" spans="1:17" x14ac:dyDescent="0.3">
      <c r="A4" s="452"/>
      <c r="B4" s="453"/>
      <c r="C4" s="453" t="s">
        <v>3</v>
      </c>
      <c r="D4" s="453" t="s">
        <v>4</v>
      </c>
      <c r="E4" s="453"/>
    </row>
    <row r="5" spans="1:17" x14ac:dyDescent="0.3">
      <c r="A5" s="452"/>
      <c r="B5" s="453"/>
      <c r="C5" s="453"/>
      <c r="D5" s="402" t="s">
        <v>5</v>
      </c>
      <c r="E5" s="402" t="s">
        <v>64</v>
      </c>
    </row>
    <row r="6" spans="1:17" x14ac:dyDescent="0.3">
      <c r="A6" s="6">
        <v>1</v>
      </c>
      <c r="B6" s="7">
        <v>2</v>
      </c>
      <c r="C6" s="403">
        <v>3</v>
      </c>
      <c r="D6" s="402">
        <v>4</v>
      </c>
      <c r="E6" s="402">
        <v>5</v>
      </c>
    </row>
    <row r="7" spans="1:17" x14ac:dyDescent="0.3">
      <c r="A7" s="408">
        <v>1</v>
      </c>
      <c r="B7" s="409" t="s">
        <v>9</v>
      </c>
      <c r="C7" s="410">
        <v>5000</v>
      </c>
      <c r="D7" s="411">
        <v>5000</v>
      </c>
      <c r="E7" s="411">
        <v>5000</v>
      </c>
    </row>
    <row r="8" spans="1:17" x14ac:dyDescent="0.3">
      <c r="A8" s="12"/>
      <c r="B8" s="13" t="s">
        <v>65</v>
      </c>
      <c r="C8" s="412">
        <f>C7</f>
        <v>5000</v>
      </c>
      <c r="D8" s="412">
        <f>D7</f>
        <v>5000</v>
      </c>
      <c r="E8" s="412">
        <f>E7</f>
        <v>5000</v>
      </c>
    </row>
    <row r="15" spans="1:17" x14ac:dyDescent="0.3">
      <c r="Q15" s="21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24"/>
  <sheetViews>
    <sheetView zoomScaleNormal="100" zoomScaleSheetLayoutView="115" workbookViewId="0">
      <selection activeCell="I11" sqref="I11"/>
    </sheetView>
  </sheetViews>
  <sheetFormatPr defaultColWidth="9.140625" defaultRowHeight="18" x14ac:dyDescent="0.25"/>
  <cols>
    <col min="1" max="1" width="7" style="245" bestFit="1" customWidth="1"/>
    <col min="2" max="2" width="56.85546875" style="95" customWidth="1"/>
    <col min="3" max="3" width="13.7109375" style="95" customWidth="1"/>
    <col min="4" max="4" width="14.42578125" style="95" customWidth="1"/>
    <col min="5" max="5" width="14.7109375" style="95" customWidth="1"/>
    <col min="6" max="16384" width="9.140625" style="95"/>
  </cols>
  <sheetData>
    <row r="1" spans="1:5" ht="18.75" x14ac:dyDescent="0.25">
      <c r="B1" s="423" t="s">
        <v>442</v>
      </c>
      <c r="C1" s="423"/>
      <c r="D1" s="423"/>
      <c r="E1" s="423"/>
    </row>
    <row r="2" spans="1:5" s="246" customFormat="1" ht="58.5" customHeight="1" x14ac:dyDescent="0.25">
      <c r="A2" s="429" t="s">
        <v>436</v>
      </c>
      <c r="B2" s="429"/>
      <c r="C2" s="429"/>
      <c r="D2" s="429"/>
      <c r="E2" s="429"/>
    </row>
    <row r="3" spans="1:5" s="247" customFormat="1" ht="31.5" customHeight="1" x14ac:dyDescent="0.25">
      <c r="A3" s="426" t="s">
        <v>365</v>
      </c>
      <c r="B3" s="426" t="s">
        <v>52</v>
      </c>
      <c r="C3" s="427" t="s">
        <v>71</v>
      </c>
      <c r="D3" s="427"/>
      <c r="E3" s="427"/>
    </row>
    <row r="4" spans="1:5" s="247" customFormat="1" ht="30.75" customHeight="1" x14ac:dyDescent="0.25">
      <c r="A4" s="426"/>
      <c r="B4" s="426"/>
      <c r="C4" s="430" t="s">
        <v>368</v>
      </c>
      <c r="D4" s="427" t="s">
        <v>4</v>
      </c>
      <c r="E4" s="427"/>
    </row>
    <row r="5" spans="1:5" s="247" customFormat="1" ht="20.25" customHeight="1" x14ac:dyDescent="0.25">
      <c r="A5" s="426"/>
      <c r="B5" s="426"/>
      <c r="C5" s="430"/>
      <c r="D5" s="248" t="s">
        <v>5</v>
      </c>
      <c r="E5" s="248" t="s">
        <v>369</v>
      </c>
    </row>
    <row r="6" spans="1:5" ht="18.75" x14ac:dyDescent="0.25">
      <c r="A6" s="96">
        <v>1</v>
      </c>
      <c r="B6" s="96">
        <v>2</v>
      </c>
      <c r="C6" s="96">
        <v>3</v>
      </c>
      <c r="D6" s="96">
        <v>4</v>
      </c>
      <c r="E6" s="96">
        <v>5</v>
      </c>
    </row>
    <row r="7" spans="1:5" s="250" customFormat="1" ht="18.75" x14ac:dyDescent="0.3">
      <c r="A7" s="249"/>
      <c r="B7" s="241" t="s">
        <v>25</v>
      </c>
      <c r="C7" s="154">
        <v>18916.199999999997</v>
      </c>
      <c r="D7" s="154">
        <v>16350.1</v>
      </c>
      <c r="E7" s="154">
        <v>13571.099999999999</v>
      </c>
    </row>
    <row r="8" spans="1:5" ht="18.75" x14ac:dyDescent="0.3">
      <c r="A8" s="238">
        <v>1</v>
      </c>
      <c r="B8" s="239" t="s">
        <v>370</v>
      </c>
      <c r="C8" s="240">
        <v>6713.5</v>
      </c>
      <c r="D8" s="240">
        <v>5101.3999999999996</v>
      </c>
      <c r="E8" s="240">
        <v>3424.9</v>
      </c>
    </row>
    <row r="9" spans="1:5" ht="18.75" x14ac:dyDescent="0.3">
      <c r="A9" s="238">
        <v>2</v>
      </c>
      <c r="B9" s="239" t="s">
        <v>75</v>
      </c>
      <c r="C9" s="240">
        <v>1519.1</v>
      </c>
      <c r="D9" s="240">
        <v>1452</v>
      </c>
      <c r="E9" s="251">
        <v>1342.4</v>
      </c>
    </row>
    <row r="10" spans="1:5" ht="18.75" x14ac:dyDescent="0.3">
      <c r="A10" s="238">
        <v>3</v>
      </c>
      <c r="B10" s="239" t="s">
        <v>76</v>
      </c>
      <c r="C10" s="240">
        <v>809.7</v>
      </c>
      <c r="D10" s="240">
        <v>790.3</v>
      </c>
      <c r="E10" s="251">
        <v>770.1</v>
      </c>
    </row>
    <row r="11" spans="1:5" ht="18.75" x14ac:dyDescent="0.3">
      <c r="A11" s="238">
        <v>4</v>
      </c>
      <c r="B11" s="239" t="s">
        <v>77</v>
      </c>
      <c r="C11" s="240">
        <v>1319.3</v>
      </c>
      <c r="D11" s="240">
        <v>1287.3</v>
      </c>
      <c r="E11" s="251">
        <v>1254</v>
      </c>
    </row>
    <row r="12" spans="1:5" ht="18.75" x14ac:dyDescent="0.3">
      <c r="A12" s="238">
        <v>5</v>
      </c>
      <c r="B12" s="239" t="s">
        <v>78</v>
      </c>
      <c r="C12" s="240">
        <v>701.3</v>
      </c>
      <c r="D12" s="240">
        <v>687.1</v>
      </c>
      <c r="E12" s="251">
        <v>672.4</v>
      </c>
    </row>
    <row r="13" spans="1:5" ht="18.75" x14ac:dyDescent="0.3">
      <c r="A13" s="238">
        <v>6</v>
      </c>
      <c r="B13" s="239" t="s">
        <v>79</v>
      </c>
      <c r="C13" s="240">
        <v>657.8</v>
      </c>
      <c r="D13" s="240">
        <v>612</v>
      </c>
      <c r="E13" s="251">
        <v>564.9</v>
      </c>
    </row>
    <row r="14" spans="1:5" ht="18.75" x14ac:dyDescent="0.3">
      <c r="A14" s="238">
        <v>7</v>
      </c>
      <c r="B14" s="239" t="s">
        <v>80</v>
      </c>
      <c r="C14" s="240">
        <v>1006.4</v>
      </c>
      <c r="D14" s="240">
        <v>830.9</v>
      </c>
      <c r="E14" s="251">
        <v>778.6</v>
      </c>
    </row>
    <row r="15" spans="1:5" ht="18.75" x14ac:dyDescent="0.3">
      <c r="A15" s="238">
        <v>8</v>
      </c>
      <c r="B15" s="239" t="s">
        <v>81</v>
      </c>
      <c r="C15" s="240">
        <v>418.1</v>
      </c>
      <c r="D15" s="240">
        <v>392.3</v>
      </c>
      <c r="E15" s="251">
        <v>113.9</v>
      </c>
    </row>
    <row r="16" spans="1:5" ht="18.75" x14ac:dyDescent="0.3">
      <c r="A16" s="238">
        <v>9</v>
      </c>
      <c r="B16" s="239" t="s">
        <v>82</v>
      </c>
      <c r="C16" s="240">
        <v>888.9</v>
      </c>
      <c r="D16" s="240">
        <v>872.2</v>
      </c>
      <c r="E16" s="251">
        <v>447</v>
      </c>
    </row>
    <row r="17" spans="1:17" ht="18.75" x14ac:dyDescent="0.3">
      <c r="A17" s="238">
        <v>10</v>
      </c>
      <c r="B17" s="239" t="s">
        <v>83</v>
      </c>
      <c r="C17" s="240">
        <v>543.4</v>
      </c>
      <c r="D17" s="240">
        <v>484.2</v>
      </c>
      <c r="E17" s="251">
        <v>422.7</v>
      </c>
    </row>
    <row r="18" spans="1:17" ht="18.75" x14ac:dyDescent="0.3">
      <c r="A18" s="238">
        <v>11</v>
      </c>
      <c r="B18" s="239" t="s">
        <v>84</v>
      </c>
      <c r="C18" s="240">
        <v>1693.9</v>
      </c>
      <c r="D18" s="240">
        <v>1665.9</v>
      </c>
      <c r="E18" s="251">
        <v>1636.9</v>
      </c>
      <c r="Q18" s="100"/>
    </row>
    <row r="19" spans="1:17" ht="18.75" x14ac:dyDescent="0.3">
      <c r="A19" s="238">
        <v>12</v>
      </c>
      <c r="B19" s="239" t="s">
        <v>85</v>
      </c>
      <c r="C19" s="240">
        <v>2204.5</v>
      </c>
      <c r="D19" s="240">
        <v>2174.5</v>
      </c>
      <c r="E19" s="251">
        <v>2143.3000000000002</v>
      </c>
    </row>
    <row r="20" spans="1:17" ht="18.75" x14ac:dyDescent="0.3">
      <c r="A20" s="238">
        <v>13</v>
      </c>
      <c r="B20" s="239" t="s">
        <v>86</v>
      </c>
      <c r="C20" s="240">
        <v>440.3</v>
      </c>
      <c r="D20" s="240">
        <v>0</v>
      </c>
      <c r="E20" s="251">
        <v>0</v>
      </c>
    </row>
    <row r="21" spans="1:17" s="250" customFormat="1" ht="18.75" x14ac:dyDescent="0.3">
      <c r="A21" s="249"/>
      <c r="B21" s="241" t="s">
        <v>26</v>
      </c>
      <c r="C21" s="154">
        <v>4982.7</v>
      </c>
      <c r="D21" s="154">
        <v>4505.2</v>
      </c>
      <c r="E21" s="154">
        <v>2224.3000000000002</v>
      </c>
    </row>
    <row r="22" spans="1:17" ht="18.75" x14ac:dyDescent="0.3">
      <c r="A22" s="238">
        <v>14</v>
      </c>
      <c r="B22" s="239" t="s">
        <v>87</v>
      </c>
      <c r="C22" s="240">
        <v>2085</v>
      </c>
      <c r="D22" s="240">
        <v>1902.3</v>
      </c>
      <c r="E22" s="240">
        <v>0</v>
      </c>
    </row>
    <row r="23" spans="1:17" ht="18.75" x14ac:dyDescent="0.3">
      <c r="A23" s="238">
        <v>15</v>
      </c>
      <c r="B23" s="239" t="s">
        <v>88</v>
      </c>
      <c r="C23" s="240">
        <v>380.5</v>
      </c>
      <c r="D23" s="240">
        <v>337.8</v>
      </c>
      <c r="E23" s="251">
        <v>276.39999999999998</v>
      </c>
    </row>
    <row r="24" spans="1:17" ht="18.75" x14ac:dyDescent="0.3">
      <c r="A24" s="238">
        <v>16</v>
      </c>
      <c r="B24" s="239" t="s">
        <v>89</v>
      </c>
      <c r="C24" s="240">
        <v>257.2</v>
      </c>
      <c r="D24" s="240">
        <v>251.4</v>
      </c>
      <c r="E24" s="251">
        <v>245.4</v>
      </c>
    </row>
    <row r="25" spans="1:17" ht="18.75" x14ac:dyDescent="0.3">
      <c r="A25" s="238">
        <v>17</v>
      </c>
      <c r="B25" s="239" t="s">
        <v>90</v>
      </c>
      <c r="C25" s="240">
        <v>365.9</v>
      </c>
      <c r="D25" s="240">
        <v>334.6</v>
      </c>
      <c r="E25" s="251">
        <v>269.5</v>
      </c>
    </row>
    <row r="26" spans="1:17" ht="18.75" x14ac:dyDescent="0.3">
      <c r="A26" s="238">
        <v>18</v>
      </c>
      <c r="B26" s="239" t="s">
        <v>91</v>
      </c>
      <c r="C26" s="240">
        <v>293.39999999999998</v>
      </c>
      <c r="D26" s="240">
        <v>232.7</v>
      </c>
      <c r="E26" s="251">
        <v>160.6</v>
      </c>
    </row>
    <row r="27" spans="1:17" ht="18.75" x14ac:dyDescent="0.3">
      <c r="A27" s="238">
        <v>19</v>
      </c>
      <c r="B27" s="239" t="s">
        <v>92</v>
      </c>
      <c r="C27" s="240">
        <v>1152.5</v>
      </c>
      <c r="D27" s="240">
        <v>1136.5999999999999</v>
      </c>
      <c r="E27" s="251">
        <v>1120</v>
      </c>
    </row>
    <row r="28" spans="1:17" ht="18.75" x14ac:dyDescent="0.3">
      <c r="A28" s="238">
        <v>20</v>
      </c>
      <c r="B28" s="239" t="s">
        <v>93</v>
      </c>
      <c r="C28" s="240">
        <v>448.2</v>
      </c>
      <c r="D28" s="240">
        <v>309.8</v>
      </c>
      <c r="E28" s="251">
        <v>152.4</v>
      </c>
    </row>
    <row r="29" spans="1:17" ht="18.75" x14ac:dyDescent="0.3">
      <c r="A29" s="249"/>
      <c r="B29" s="241" t="s">
        <v>27</v>
      </c>
      <c r="C29" s="154">
        <v>14732.600000000002</v>
      </c>
      <c r="D29" s="154">
        <v>13827.4</v>
      </c>
      <c r="E29" s="154">
        <v>13388.2</v>
      </c>
    </row>
    <row r="30" spans="1:17" ht="18.75" x14ac:dyDescent="0.3">
      <c r="A30" s="238">
        <v>21</v>
      </c>
      <c r="B30" s="239" t="s">
        <v>371</v>
      </c>
      <c r="C30" s="240">
        <v>0</v>
      </c>
      <c r="D30" s="240">
        <v>0</v>
      </c>
      <c r="E30" s="240">
        <v>0</v>
      </c>
    </row>
    <row r="31" spans="1:17" ht="18.75" x14ac:dyDescent="0.3">
      <c r="A31" s="238">
        <v>22</v>
      </c>
      <c r="B31" s="239" t="s">
        <v>96</v>
      </c>
      <c r="C31" s="240">
        <v>1763.3</v>
      </c>
      <c r="D31" s="240">
        <v>1631.7</v>
      </c>
      <c r="E31" s="240">
        <v>1494.8</v>
      </c>
    </row>
    <row r="32" spans="1:17" ht="18.75" x14ac:dyDescent="0.3">
      <c r="A32" s="238">
        <v>23</v>
      </c>
      <c r="B32" s="239" t="s">
        <v>97</v>
      </c>
      <c r="C32" s="240">
        <v>4802</v>
      </c>
      <c r="D32" s="240">
        <v>4765.8999999999996</v>
      </c>
      <c r="E32" s="251">
        <v>4728.3</v>
      </c>
    </row>
    <row r="33" spans="1:5" ht="18.75" x14ac:dyDescent="0.3">
      <c r="A33" s="238">
        <v>24</v>
      </c>
      <c r="B33" s="239" t="s">
        <v>98</v>
      </c>
      <c r="C33" s="240">
        <v>609.20000000000005</v>
      </c>
      <c r="D33" s="240">
        <v>600</v>
      </c>
      <c r="E33" s="251">
        <v>590.5</v>
      </c>
    </row>
    <row r="34" spans="1:5" ht="18.75" x14ac:dyDescent="0.3">
      <c r="A34" s="238">
        <v>25</v>
      </c>
      <c r="B34" s="239" t="s">
        <v>99</v>
      </c>
      <c r="C34" s="240">
        <v>3074.1</v>
      </c>
      <c r="D34" s="240">
        <v>3012.3</v>
      </c>
      <c r="E34" s="251">
        <v>2947.9</v>
      </c>
    </row>
    <row r="35" spans="1:5" ht="18.75" x14ac:dyDescent="0.3">
      <c r="A35" s="238">
        <v>26</v>
      </c>
      <c r="B35" s="239" t="s">
        <v>100</v>
      </c>
      <c r="C35" s="240">
        <v>2533.5</v>
      </c>
      <c r="D35" s="240">
        <v>2475.6</v>
      </c>
      <c r="E35" s="251">
        <v>2349.9</v>
      </c>
    </row>
    <row r="36" spans="1:5" ht="18.75" x14ac:dyDescent="0.3">
      <c r="A36" s="238">
        <v>27</v>
      </c>
      <c r="B36" s="239" t="s">
        <v>101</v>
      </c>
      <c r="C36" s="240">
        <v>326.7</v>
      </c>
      <c r="D36" s="240">
        <v>0</v>
      </c>
      <c r="E36" s="251">
        <v>0</v>
      </c>
    </row>
    <row r="37" spans="1:5" ht="18.75" x14ac:dyDescent="0.3">
      <c r="A37" s="238">
        <v>28</v>
      </c>
      <c r="B37" s="239" t="s">
        <v>102</v>
      </c>
      <c r="C37" s="240">
        <v>855.1</v>
      </c>
      <c r="D37" s="240">
        <v>582.6</v>
      </c>
      <c r="E37" s="251">
        <v>540.6</v>
      </c>
    </row>
    <row r="38" spans="1:5" ht="18.75" x14ac:dyDescent="0.3">
      <c r="A38" s="238">
        <v>29</v>
      </c>
      <c r="B38" s="239" t="s">
        <v>103</v>
      </c>
      <c r="C38" s="240">
        <v>768.7</v>
      </c>
      <c r="D38" s="240">
        <v>759.3</v>
      </c>
      <c r="E38" s="251">
        <v>736.2</v>
      </c>
    </row>
    <row r="39" spans="1:5" ht="18.75" x14ac:dyDescent="0.3">
      <c r="A39" s="238">
        <v>30</v>
      </c>
      <c r="B39" s="239" t="s">
        <v>104</v>
      </c>
      <c r="C39" s="240">
        <v>0</v>
      </c>
      <c r="D39" s="240">
        <v>0</v>
      </c>
      <c r="E39" s="251">
        <v>0</v>
      </c>
    </row>
    <row r="40" spans="1:5" ht="18.75" x14ac:dyDescent="0.3">
      <c r="A40" s="238">
        <v>31</v>
      </c>
      <c r="B40" s="239" t="s">
        <v>105</v>
      </c>
      <c r="C40" s="240">
        <v>0</v>
      </c>
      <c r="D40" s="240">
        <v>0</v>
      </c>
      <c r="E40" s="251">
        <v>0</v>
      </c>
    </row>
    <row r="41" spans="1:5" s="250" customFormat="1" ht="18.75" x14ac:dyDescent="0.3">
      <c r="A41" s="249"/>
      <c r="B41" s="241" t="s">
        <v>28</v>
      </c>
      <c r="C41" s="154">
        <v>1571.4</v>
      </c>
      <c r="D41" s="154">
        <v>1084.5</v>
      </c>
      <c r="E41" s="154">
        <v>963.6</v>
      </c>
    </row>
    <row r="42" spans="1:5" ht="18.75" x14ac:dyDescent="0.3">
      <c r="A42" s="238">
        <v>32</v>
      </c>
      <c r="B42" s="239" t="s">
        <v>107</v>
      </c>
      <c r="C42" s="240">
        <v>101.4</v>
      </c>
      <c r="D42" s="240">
        <v>0</v>
      </c>
      <c r="E42" s="240">
        <v>0</v>
      </c>
    </row>
    <row r="43" spans="1:5" ht="18.75" x14ac:dyDescent="0.3">
      <c r="A43" s="238">
        <v>33</v>
      </c>
      <c r="B43" s="239" t="s">
        <v>108</v>
      </c>
      <c r="C43" s="240">
        <v>0</v>
      </c>
      <c r="D43" s="240">
        <v>0</v>
      </c>
      <c r="E43" s="251">
        <v>0</v>
      </c>
    </row>
    <row r="44" spans="1:5" ht="18.75" x14ac:dyDescent="0.3">
      <c r="A44" s="238">
        <v>34</v>
      </c>
      <c r="B44" s="239" t="s">
        <v>109</v>
      </c>
      <c r="C44" s="240">
        <v>980.8</v>
      </c>
      <c r="D44" s="240">
        <v>972.4</v>
      </c>
      <c r="E44" s="251">
        <v>963.6</v>
      </c>
    </row>
    <row r="45" spans="1:5" ht="18.75" x14ac:dyDescent="0.3">
      <c r="A45" s="238">
        <v>35</v>
      </c>
      <c r="B45" s="239" t="s">
        <v>110</v>
      </c>
      <c r="C45" s="240">
        <v>489.2</v>
      </c>
      <c r="D45" s="240">
        <v>112.1</v>
      </c>
      <c r="E45" s="251">
        <v>0</v>
      </c>
    </row>
    <row r="46" spans="1:5" s="250" customFormat="1" ht="18.75" x14ac:dyDescent="0.3">
      <c r="A46" s="249"/>
      <c r="B46" s="241" t="s">
        <v>29</v>
      </c>
      <c r="C46" s="154">
        <v>241.4</v>
      </c>
      <c r="D46" s="154">
        <v>207.7</v>
      </c>
      <c r="E46" s="154">
        <v>107.7</v>
      </c>
    </row>
    <row r="47" spans="1:5" ht="18.75" x14ac:dyDescent="0.3">
      <c r="A47" s="238">
        <v>36</v>
      </c>
      <c r="B47" s="239" t="s">
        <v>112</v>
      </c>
      <c r="C47" s="240">
        <v>0</v>
      </c>
      <c r="D47" s="240">
        <v>0</v>
      </c>
      <c r="E47" s="240">
        <v>0</v>
      </c>
    </row>
    <row r="48" spans="1:5" ht="18.75" x14ac:dyDescent="0.3">
      <c r="A48" s="238">
        <v>37</v>
      </c>
      <c r="B48" s="239" t="s">
        <v>113</v>
      </c>
      <c r="C48" s="240">
        <v>0</v>
      </c>
      <c r="D48" s="240">
        <v>0</v>
      </c>
      <c r="E48" s="251">
        <v>0</v>
      </c>
    </row>
    <row r="49" spans="1:5" ht="18.75" x14ac:dyDescent="0.3">
      <c r="A49" s="238">
        <v>38</v>
      </c>
      <c r="B49" s="239" t="s">
        <v>114</v>
      </c>
      <c r="C49" s="240">
        <v>241.4</v>
      </c>
      <c r="D49" s="240">
        <v>207.7</v>
      </c>
      <c r="E49" s="251">
        <v>107.7</v>
      </c>
    </row>
    <row r="50" spans="1:5" ht="18.75" x14ac:dyDescent="0.3">
      <c r="A50" s="238">
        <v>39</v>
      </c>
      <c r="B50" s="239" t="s">
        <v>115</v>
      </c>
      <c r="C50" s="240">
        <v>0</v>
      </c>
      <c r="D50" s="240">
        <v>0</v>
      </c>
      <c r="E50" s="251">
        <v>0</v>
      </c>
    </row>
    <row r="51" spans="1:5" ht="18.75" x14ac:dyDescent="0.3">
      <c r="A51" s="238">
        <v>40</v>
      </c>
      <c r="B51" s="239" t="s">
        <v>116</v>
      </c>
      <c r="C51" s="240">
        <v>0</v>
      </c>
      <c r="D51" s="240">
        <v>0</v>
      </c>
      <c r="E51" s="251">
        <v>0</v>
      </c>
    </row>
    <row r="52" spans="1:5" ht="18.75" x14ac:dyDescent="0.3">
      <c r="A52" s="238">
        <v>41</v>
      </c>
      <c r="B52" s="239" t="s">
        <v>117</v>
      </c>
      <c r="C52" s="240">
        <v>0</v>
      </c>
      <c r="D52" s="240">
        <v>0</v>
      </c>
      <c r="E52" s="251">
        <v>0</v>
      </c>
    </row>
    <row r="53" spans="1:5" ht="18.75" x14ac:dyDescent="0.3">
      <c r="A53" s="238">
        <v>42</v>
      </c>
      <c r="B53" s="239" t="s">
        <v>118</v>
      </c>
      <c r="C53" s="240">
        <v>0</v>
      </c>
      <c r="D53" s="240">
        <v>0</v>
      </c>
      <c r="E53" s="251">
        <v>0</v>
      </c>
    </row>
    <row r="54" spans="1:5" ht="18.75" x14ac:dyDescent="0.3">
      <c r="A54" s="238">
        <v>43</v>
      </c>
      <c r="B54" s="239" t="s">
        <v>119</v>
      </c>
      <c r="C54" s="240">
        <v>0</v>
      </c>
      <c r="D54" s="240">
        <v>0</v>
      </c>
      <c r="E54" s="251">
        <v>0</v>
      </c>
    </row>
    <row r="55" spans="1:5" s="250" customFormat="1" ht="18.75" x14ac:dyDescent="0.3">
      <c r="A55" s="249"/>
      <c r="B55" s="241" t="s">
        <v>30</v>
      </c>
      <c r="C55" s="154">
        <v>6681</v>
      </c>
      <c r="D55" s="154">
        <v>5903.3000000000011</v>
      </c>
      <c r="E55" s="154">
        <v>5178.3999999999996</v>
      </c>
    </row>
    <row r="56" spans="1:5" ht="18.75" x14ac:dyDescent="0.3">
      <c r="A56" s="238">
        <v>44</v>
      </c>
      <c r="B56" s="239" t="s">
        <v>121</v>
      </c>
      <c r="C56" s="240">
        <v>3205.4</v>
      </c>
      <c r="D56" s="240">
        <v>3077.9</v>
      </c>
      <c r="E56" s="240">
        <v>2802.9</v>
      </c>
    </row>
    <row r="57" spans="1:5" ht="18.75" x14ac:dyDescent="0.3">
      <c r="A57" s="238">
        <v>45</v>
      </c>
      <c r="B57" s="239" t="s">
        <v>122</v>
      </c>
      <c r="C57" s="240">
        <v>2932.2</v>
      </c>
      <c r="D57" s="240">
        <v>2620.8000000000002</v>
      </c>
      <c r="E57" s="240">
        <v>2375.5</v>
      </c>
    </row>
    <row r="58" spans="1:5" ht="18.75" x14ac:dyDescent="0.3">
      <c r="A58" s="238">
        <v>46</v>
      </c>
      <c r="B58" s="239" t="s">
        <v>123</v>
      </c>
      <c r="C58" s="240">
        <v>0</v>
      </c>
      <c r="D58" s="240">
        <v>0</v>
      </c>
      <c r="E58" s="240">
        <v>0</v>
      </c>
    </row>
    <row r="59" spans="1:5" ht="18.75" x14ac:dyDescent="0.3">
      <c r="A59" s="238">
        <v>47</v>
      </c>
      <c r="B59" s="239" t="s">
        <v>124</v>
      </c>
      <c r="C59" s="240">
        <v>0</v>
      </c>
      <c r="D59" s="240">
        <v>0</v>
      </c>
      <c r="E59" s="251">
        <v>0</v>
      </c>
    </row>
    <row r="60" spans="1:5" ht="18.75" x14ac:dyDescent="0.3">
      <c r="A60" s="238">
        <v>48</v>
      </c>
      <c r="B60" s="239" t="s">
        <v>125</v>
      </c>
      <c r="C60" s="240">
        <v>0</v>
      </c>
      <c r="D60" s="240">
        <v>0</v>
      </c>
      <c r="E60" s="251">
        <v>0</v>
      </c>
    </row>
    <row r="61" spans="1:5" ht="18.75" x14ac:dyDescent="0.3">
      <c r="A61" s="238">
        <v>49</v>
      </c>
      <c r="B61" s="239" t="s">
        <v>126</v>
      </c>
      <c r="C61" s="240">
        <v>0</v>
      </c>
      <c r="D61" s="240">
        <v>0</v>
      </c>
      <c r="E61" s="251">
        <v>0</v>
      </c>
    </row>
    <row r="62" spans="1:5" ht="18.75" x14ac:dyDescent="0.3">
      <c r="A62" s="238">
        <v>50</v>
      </c>
      <c r="B62" s="239" t="s">
        <v>127</v>
      </c>
      <c r="C62" s="240">
        <v>0</v>
      </c>
      <c r="D62" s="240">
        <v>0</v>
      </c>
      <c r="E62" s="251">
        <v>0</v>
      </c>
    </row>
    <row r="63" spans="1:5" ht="18.75" x14ac:dyDescent="0.3">
      <c r="A63" s="238">
        <v>51</v>
      </c>
      <c r="B63" s="239" t="s">
        <v>128</v>
      </c>
      <c r="C63" s="240">
        <v>0</v>
      </c>
      <c r="D63" s="240">
        <v>0</v>
      </c>
      <c r="E63" s="251">
        <v>0</v>
      </c>
    </row>
    <row r="64" spans="1:5" ht="18.75" x14ac:dyDescent="0.3">
      <c r="A64" s="238">
        <v>52</v>
      </c>
      <c r="B64" s="239" t="s">
        <v>129</v>
      </c>
      <c r="C64" s="240">
        <v>0</v>
      </c>
      <c r="D64" s="240">
        <v>0</v>
      </c>
      <c r="E64" s="251">
        <v>0</v>
      </c>
    </row>
    <row r="65" spans="1:5" ht="18.75" x14ac:dyDescent="0.3">
      <c r="A65" s="238">
        <v>53</v>
      </c>
      <c r="B65" s="239" t="s">
        <v>130</v>
      </c>
      <c r="C65" s="240">
        <v>0</v>
      </c>
      <c r="D65" s="240">
        <v>0</v>
      </c>
      <c r="E65" s="251">
        <v>0</v>
      </c>
    </row>
    <row r="66" spans="1:5" ht="18.75" x14ac:dyDescent="0.3">
      <c r="A66" s="238">
        <v>54</v>
      </c>
      <c r="B66" s="239" t="s">
        <v>131</v>
      </c>
      <c r="C66" s="240">
        <v>0</v>
      </c>
      <c r="D66" s="240">
        <v>0</v>
      </c>
      <c r="E66" s="251">
        <v>0</v>
      </c>
    </row>
    <row r="67" spans="1:5" ht="18.75" x14ac:dyDescent="0.3">
      <c r="A67" s="238">
        <v>55</v>
      </c>
      <c r="B67" s="239" t="s">
        <v>132</v>
      </c>
      <c r="C67" s="240">
        <v>0</v>
      </c>
      <c r="D67" s="240">
        <v>0</v>
      </c>
      <c r="E67" s="251">
        <v>0</v>
      </c>
    </row>
    <row r="68" spans="1:5" ht="18.75" x14ac:dyDescent="0.3">
      <c r="A68" s="238">
        <v>56</v>
      </c>
      <c r="B68" s="239" t="s">
        <v>133</v>
      </c>
      <c r="C68" s="240">
        <v>0</v>
      </c>
      <c r="D68" s="240">
        <v>0</v>
      </c>
      <c r="E68" s="251">
        <v>0</v>
      </c>
    </row>
    <row r="69" spans="1:5" ht="18.75" x14ac:dyDescent="0.3">
      <c r="A69" s="238">
        <v>57</v>
      </c>
      <c r="B69" s="239" t="s">
        <v>134</v>
      </c>
      <c r="C69" s="240">
        <v>0</v>
      </c>
      <c r="D69" s="240">
        <v>0</v>
      </c>
      <c r="E69" s="251">
        <v>0</v>
      </c>
    </row>
    <row r="70" spans="1:5" ht="18.75" x14ac:dyDescent="0.3">
      <c r="A70" s="238">
        <v>58</v>
      </c>
      <c r="B70" s="239" t="s">
        <v>135</v>
      </c>
      <c r="C70" s="240">
        <v>0</v>
      </c>
      <c r="D70" s="240">
        <v>0</v>
      </c>
      <c r="E70" s="251">
        <v>0</v>
      </c>
    </row>
    <row r="71" spans="1:5" ht="18.75" x14ac:dyDescent="0.3">
      <c r="A71" s="238">
        <v>59</v>
      </c>
      <c r="B71" s="239" t="s">
        <v>136</v>
      </c>
      <c r="C71" s="240">
        <v>0</v>
      </c>
      <c r="D71" s="240">
        <v>0</v>
      </c>
      <c r="E71" s="251">
        <v>0</v>
      </c>
    </row>
    <row r="72" spans="1:5" ht="18.75" x14ac:dyDescent="0.3">
      <c r="A72" s="238">
        <v>60</v>
      </c>
      <c r="B72" s="239" t="s">
        <v>137</v>
      </c>
      <c r="C72" s="240">
        <v>0</v>
      </c>
      <c r="D72" s="240">
        <v>0</v>
      </c>
      <c r="E72" s="251">
        <v>0</v>
      </c>
    </row>
    <row r="73" spans="1:5" ht="18.75" x14ac:dyDescent="0.3">
      <c r="A73" s="238">
        <v>61</v>
      </c>
      <c r="B73" s="239" t="s">
        <v>138</v>
      </c>
      <c r="C73" s="240">
        <v>543.4</v>
      </c>
      <c r="D73" s="240">
        <v>204.6</v>
      </c>
      <c r="E73" s="251">
        <v>0</v>
      </c>
    </row>
    <row r="74" spans="1:5" s="250" customFormat="1" ht="18.75" x14ac:dyDescent="0.3">
      <c r="A74" s="249"/>
      <c r="B74" s="241" t="s">
        <v>31</v>
      </c>
      <c r="C74" s="154">
        <v>0</v>
      </c>
      <c r="D74" s="154">
        <v>0</v>
      </c>
      <c r="E74" s="154">
        <v>0</v>
      </c>
    </row>
    <row r="75" spans="1:5" ht="18.75" x14ac:dyDescent="0.3">
      <c r="A75" s="238">
        <v>62</v>
      </c>
      <c r="B75" s="239" t="s">
        <v>140</v>
      </c>
      <c r="C75" s="240">
        <v>0</v>
      </c>
      <c r="D75" s="240">
        <v>0</v>
      </c>
      <c r="E75" s="240">
        <v>0</v>
      </c>
    </row>
    <row r="76" spans="1:5" ht="18.75" x14ac:dyDescent="0.3">
      <c r="A76" s="238">
        <v>63</v>
      </c>
      <c r="B76" s="239" t="s">
        <v>141</v>
      </c>
      <c r="C76" s="240">
        <v>0</v>
      </c>
      <c r="D76" s="240">
        <v>0</v>
      </c>
      <c r="E76" s="251">
        <v>0</v>
      </c>
    </row>
    <row r="77" spans="1:5" ht="18.75" x14ac:dyDescent="0.3">
      <c r="A77" s="238">
        <v>64</v>
      </c>
      <c r="B77" s="239" t="s">
        <v>142</v>
      </c>
      <c r="C77" s="240">
        <v>0</v>
      </c>
      <c r="D77" s="240">
        <v>0</v>
      </c>
      <c r="E77" s="251">
        <v>0</v>
      </c>
    </row>
    <row r="78" spans="1:5" ht="18.75" x14ac:dyDescent="0.3">
      <c r="A78" s="238">
        <v>65</v>
      </c>
      <c r="B78" s="239" t="s">
        <v>143</v>
      </c>
      <c r="C78" s="240">
        <v>0</v>
      </c>
      <c r="D78" s="240">
        <v>0</v>
      </c>
      <c r="E78" s="251">
        <v>0</v>
      </c>
    </row>
    <row r="79" spans="1:5" ht="18.75" x14ac:dyDescent="0.3">
      <c r="A79" s="238">
        <v>66</v>
      </c>
      <c r="B79" s="239" t="s">
        <v>144</v>
      </c>
      <c r="C79" s="240">
        <v>0</v>
      </c>
      <c r="D79" s="240">
        <v>0</v>
      </c>
      <c r="E79" s="251">
        <v>0</v>
      </c>
    </row>
    <row r="80" spans="1:5" s="250" customFormat="1" ht="18.75" x14ac:dyDescent="0.3">
      <c r="A80" s="249"/>
      <c r="B80" s="241" t="s">
        <v>32</v>
      </c>
      <c r="C80" s="154">
        <v>3767.8999999999996</v>
      </c>
      <c r="D80" s="154">
        <v>3483.2</v>
      </c>
      <c r="E80" s="154">
        <v>3086.9000000000005</v>
      </c>
    </row>
    <row r="81" spans="1:5" ht="18.75" x14ac:dyDescent="0.3">
      <c r="A81" s="238">
        <v>67</v>
      </c>
      <c r="B81" s="239" t="s">
        <v>146</v>
      </c>
      <c r="C81" s="240">
        <v>0</v>
      </c>
      <c r="D81" s="240">
        <v>0</v>
      </c>
      <c r="E81" s="240">
        <v>0</v>
      </c>
    </row>
    <row r="82" spans="1:5" ht="18.75" x14ac:dyDescent="0.3">
      <c r="A82" s="238">
        <v>68</v>
      </c>
      <c r="B82" s="239" t="s">
        <v>147</v>
      </c>
      <c r="C82" s="240">
        <v>652.5</v>
      </c>
      <c r="D82" s="240">
        <v>626.79999999999995</v>
      </c>
      <c r="E82" s="251">
        <v>581.5</v>
      </c>
    </row>
    <row r="83" spans="1:5" ht="18.75" x14ac:dyDescent="0.3">
      <c r="A83" s="238">
        <v>69</v>
      </c>
      <c r="B83" s="239" t="s">
        <v>148</v>
      </c>
      <c r="C83" s="240">
        <v>738.5</v>
      </c>
      <c r="D83" s="240">
        <v>603.70000000000005</v>
      </c>
      <c r="E83" s="251">
        <v>446.1</v>
      </c>
    </row>
    <row r="84" spans="1:5" ht="18.75" x14ac:dyDescent="0.3">
      <c r="A84" s="238">
        <v>70</v>
      </c>
      <c r="B84" s="239" t="s">
        <v>149</v>
      </c>
      <c r="C84" s="240">
        <v>820.9</v>
      </c>
      <c r="D84" s="240">
        <v>791</v>
      </c>
      <c r="E84" s="251">
        <v>733.5</v>
      </c>
    </row>
    <row r="85" spans="1:5" ht="18.75" x14ac:dyDescent="0.3">
      <c r="A85" s="238">
        <v>71</v>
      </c>
      <c r="B85" s="239" t="s">
        <v>150</v>
      </c>
      <c r="C85" s="240">
        <v>835.8</v>
      </c>
      <c r="D85" s="240">
        <v>804.7</v>
      </c>
      <c r="E85" s="251">
        <v>736.2</v>
      </c>
    </row>
    <row r="86" spans="1:5" ht="18.75" x14ac:dyDescent="0.3">
      <c r="A86" s="238">
        <v>72</v>
      </c>
      <c r="B86" s="239" t="s">
        <v>151</v>
      </c>
      <c r="C86" s="240">
        <v>562.70000000000005</v>
      </c>
      <c r="D86" s="240">
        <v>526.6</v>
      </c>
      <c r="E86" s="251">
        <v>487.3</v>
      </c>
    </row>
    <row r="87" spans="1:5" ht="18.75" x14ac:dyDescent="0.3">
      <c r="A87" s="238">
        <v>73</v>
      </c>
      <c r="B87" s="239" t="s">
        <v>152</v>
      </c>
      <c r="C87" s="240">
        <v>157.5</v>
      </c>
      <c r="D87" s="240">
        <v>130.4</v>
      </c>
      <c r="E87" s="251">
        <v>102.3</v>
      </c>
    </row>
    <row r="88" spans="1:5" s="250" customFormat="1" ht="18.75" x14ac:dyDescent="0.3">
      <c r="A88" s="249"/>
      <c r="B88" s="241" t="s">
        <v>33</v>
      </c>
      <c r="C88" s="154">
        <v>3869.8</v>
      </c>
      <c r="D88" s="154">
        <v>2023.2000000000003</v>
      </c>
      <c r="E88" s="154">
        <v>910.6</v>
      </c>
    </row>
    <row r="89" spans="1:5" ht="18.75" x14ac:dyDescent="0.3">
      <c r="A89" s="238">
        <v>74</v>
      </c>
      <c r="B89" s="239" t="s">
        <v>153</v>
      </c>
      <c r="C89" s="240">
        <v>339.2</v>
      </c>
      <c r="D89" s="240">
        <v>0</v>
      </c>
      <c r="E89" s="240">
        <v>0</v>
      </c>
    </row>
    <row r="90" spans="1:5" ht="18.75" x14ac:dyDescent="0.3">
      <c r="A90" s="238">
        <v>75</v>
      </c>
      <c r="B90" s="239" t="s">
        <v>154</v>
      </c>
      <c r="C90" s="240">
        <v>169.3</v>
      </c>
      <c r="D90" s="240">
        <v>0</v>
      </c>
      <c r="E90" s="251">
        <v>0</v>
      </c>
    </row>
    <row r="91" spans="1:5" ht="18.75" x14ac:dyDescent="0.3">
      <c r="A91" s="238">
        <v>76</v>
      </c>
      <c r="B91" s="239" t="s">
        <v>155</v>
      </c>
      <c r="C91" s="240">
        <v>1474.9</v>
      </c>
      <c r="D91" s="240">
        <v>964.4</v>
      </c>
      <c r="E91" s="251">
        <v>429.2</v>
      </c>
    </row>
    <row r="92" spans="1:5" ht="18.75" x14ac:dyDescent="0.3">
      <c r="A92" s="238">
        <v>77</v>
      </c>
      <c r="B92" s="239" t="s">
        <v>156</v>
      </c>
      <c r="C92" s="240">
        <v>771.6</v>
      </c>
      <c r="D92" s="240">
        <v>341</v>
      </c>
      <c r="E92" s="251">
        <v>0</v>
      </c>
    </row>
    <row r="93" spans="1:5" ht="18.75" x14ac:dyDescent="0.3">
      <c r="A93" s="238">
        <v>78</v>
      </c>
      <c r="B93" s="239" t="s">
        <v>157</v>
      </c>
      <c r="C93" s="240">
        <v>250.5</v>
      </c>
      <c r="D93" s="240">
        <v>76.3</v>
      </c>
      <c r="E93" s="251">
        <v>0</v>
      </c>
    </row>
    <row r="94" spans="1:5" ht="18.75" x14ac:dyDescent="0.3">
      <c r="A94" s="238">
        <v>79</v>
      </c>
      <c r="B94" s="239" t="s">
        <v>158</v>
      </c>
      <c r="C94" s="240">
        <v>614.29999999999995</v>
      </c>
      <c r="D94" s="240">
        <v>433.6</v>
      </c>
      <c r="E94" s="251">
        <v>368</v>
      </c>
    </row>
    <row r="95" spans="1:5" ht="18.75" x14ac:dyDescent="0.3">
      <c r="A95" s="238">
        <v>80</v>
      </c>
      <c r="B95" s="239" t="s">
        <v>159</v>
      </c>
      <c r="C95" s="240">
        <v>0</v>
      </c>
      <c r="D95" s="240">
        <v>0</v>
      </c>
      <c r="E95" s="251">
        <v>0</v>
      </c>
    </row>
    <row r="96" spans="1:5" ht="18.75" x14ac:dyDescent="0.3">
      <c r="A96" s="238">
        <v>81</v>
      </c>
      <c r="B96" s="239" t="s">
        <v>160</v>
      </c>
      <c r="C96" s="240">
        <v>0</v>
      </c>
      <c r="D96" s="240">
        <v>0</v>
      </c>
      <c r="E96" s="251">
        <v>0</v>
      </c>
    </row>
    <row r="97" spans="1:5" ht="18.75" x14ac:dyDescent="0.3">
      <c r="A97" s="238">
        <v>82</v>
      </c>
      <c r="B97" s="239" t="s">
        <v>161</v>
      </c>
      <c r="C97" s="240">
        <v>0</v>
      </c>
      <c r="D97" s="240">
        <v>0</v>
      </c>
      <c r="E97" s="251">
        <v>0</v>
      </c>
    </row>
    <row r="98" spans="1:5" ht="18.75" x14ac:dyDescent="0.3">
      <c r="A98" s="238">
        <v>83</v>
      </c>
      <c r="B98" s="239" t="s">
        <v>162</v>
      </c>
      <c r="C98" s="240">
        <v>250</v>
      </c>
      <c r="D98" s="240">
        <v>207.9</v>
      </c>
      <c r="E98" s="251">
        <v>113.4</v>
      </c>
    </row>
    <row r="99" spans="1:5" ht="18.75" x14ac:dyDescent="0.3">
      <c r="A99" s="238">
        <v>84</v>
      </c>
      <c r="B99" s="239" t="s">
        <v>163</v>
      </c>
      <c r="C99" s="240">
        <v>0</v>
      </c>
      <c r="D99" s="240">
        <v>0</v>
      </c>
      <c r="E99" s="251">
        <v>0</v>
      </c>
    </row>
    <row r="100" spans="1:5" ht="18.75" x14ac:dyDescent="0.3">
      <c r="A100" s="238">
        <v>85</v>
      </c>
      <c r="B100" s="239" t="s">
        <v>164</v>
      </c>
      <c r="C100" s="240">
        <v>0</v>
      </c>
      <c r="D100" s="240">
        <v>0</v>
      </c>
      <c r="E100" s="251">
        <v>0</v>
      </c>
    </row>
    <row r="101" spans="1:5" ht="18.75" x14ac:dyDescent="0.3">
      <c r="A101" s="238">
        <v>86</v>
      </c>
      <c r="B101" s="239" t="s">
        <v>165</v>
      </c>
      <c r="C101" s="240">
        <v>0</v>
      </c>
      <c r="D101" s="240">
        <v>0</v>
      </c>
      <c r="E101" s="251">
        <v>0</v>
      </c>
    </row>
    <row r="102" spans="1:5" ht="18.75" x14ac:dyDescent="0.3">
      <c r="A102" s="238">
        <v>87</v>
      </c>
      <c r="B102" s="239" t="s">
        <v>166</v>
      </c>
      <c r="C102" s="240">
        <v>0</v>
      </c>
      <c r="D102" s="240">
        <v>0</v>
      </c>
      <c r="E102" s="251">
        <v>0</v>
      </c>
    </row>
    <row r="103" spans="1:5" s="250" customFormat="1" ht="18.75" x14ac:dyDescent="0.3">
      <c r="A103" s="249"/>
      <c r="B103" s="241" t="s">
        <v>34</v>
      </c>
      <c r="C103" s="154">
        <v>733.7</v>
      </c>
      <c r="D103" s="154">
        <v>453.2</v>
      </c>
      <c r="E103" s="154">
        <v>0</v>
      </c>
    </row>
    <row r="104" spans="1:5" ht="18.75" x14ac:dyDescent="0.3">
      <c r="A104" s="238">
        <v>88</v>
      </c>
      <c r="B104" s="239" t="s">
        <v>168</v>
      </c>
      <c r="C104" s="240">
        <v>0</v>
      </c>
      <c r="D104" s="240">
        <v>0</v>
      </c>
      <c r="E104" s="240">
        <v>0</v>
      </c>
    </row>
    <row r="105" spans="1:5" ht="18.75" x14ac:dyDescent="0.3">
      <c r="A105" s="238">
        <v>89</v>
      </c>
      <c r="B105" s="239" t="s">
        <v>169</v>
      </c>
      <c r="C105" s="240">
        <v>733.7</v>
      </c>
      <c r="D105" s="240">
        <v>453.2</v>
      </c>
      <c r="E105" s="240">
        <v>0</v>
      </c>
    </row>
    <row r="106" spans="1:5" ht="18.75" x14ac:dyDescent="0.3">
      <c r="A106" s="238">
        <v>90</v>
      </c>
      <c r="B106" s="239" t="s">
        <v>170</v>
      </c>
      <c r="C106" s="240">
        <v>0</v>
      </c>
      <c r="D106" s="240">
        <v>0</v>
      </c>
      <c r="E106" s="240">
        <v>0</v>
      </c>
    </row>
    <row r="107" spans="1:5" ht="18.75" x14ac:dyDescent="0.3">
      <c r="A107" s="238">
        <v>91</v>
      </c>
      <c r="B107" s="239" t="s">
        <v>171</v>
      </c>
      <c r="C107" s="240">
        <v>0</v>
      </c>
      <c r="D107" s="240">
        <v>0</v>
      </c>
      <c r="E107" s="240">
        <v>0</v>
      </c>
    </row>
    <row r="108" spans="1:5" ht="18.75" x14ac:dyDescent="0.3">
      <c r="A108" s="238">
        <v>92</v>
      </c>
      <c r="B108" s="239" t="s">
        <v>172</v>
      </c>
      <c r="C108" s="240">
        <v>0</v>
      </c>
      <c r="D108" s="240">
        <v>0</v>
      </c>
      <c r="E108" s="240">
        <v>0</v>
      </c>
    </row>
    <row r="109" spans="1:5" ht="18.75" x14ac:dyDescent="0.3">
      <c r="A109" s="238">
        <v>93</v>
      </c>
      <c r="B109" s="239" t="s">
        <v>173</v>
      </c>
      <c r="C109" s="240">
        <v>0</v>
      </c>
      <c r="D109" s="240">
        <v>0</v>
      </c>
      <c r="E109" s="240">
        <v>0</v>
      </c>
    </row>
    <row r="110" spans="1:5" ht="18.75" x14ac:dyDescent="0.3">
      <c r="A110" s="238">
        <v>94</v>
      </c>
      <c r="B110" s="239" t="s">
        <v>174</v>
      </c>
      <c r="C110" s="240">
        <v>0</v>
      </c>
      <c r="D110" s="240">
        <v>0</v>
      </c>
      <c r="E110" s="251">
        <v>0</v>
      </c>
    </row>
    <row r="111" spans="1:5" ht="18.75" x14ac:dyDescent="0.3">
      <c r="A111" s="238">
        <v>95</v>
      </c>
      <c r="B111" s="239" t="s">
        <v>175</v>
      </c>
      <c r="C111" s="240">
        <v>0</v>
      </c>
      <c r="D111" s="240">
        <v>0</v>
      </c>
      <c r="E111" s="251">
        <v>0</v>
      </c>
    </row>
    <row r="112" spans="1:5" ht="18.75" x14ac:dyDescent="0.3">
      <c r="A112" s="238">
        <v>96</v>
      </c>
      <c r="B112" s="239" t="s">
        <v>176</v>
      </c>
      <c r="C112" s="240">
        <v>0</v>
      </c>
      <c r="D112" s="240">
        <v>0</v>
      </c>
      <c r="E112" s="251">
        <v>0</v>
      </c>
    </row>
    <row r="113" spans="1:5" ht="18.75" x14ac:dyDescent="0.3">
      <c r="A113" s="238">
        <v>97</v>
      </c>
      <c r="B113" s="239" t="s">
        <v>178</v>
      </c>
      <c r="C113" s="240">
        <v>0</v>
      </c>
      <c r="D113" s="240">
        <v>0</v>
      </c>
      <c r="E113" s="251">
        <v>0</v>
      </c>
    </row>
    <row r="114" spans="1:5" ht="18.75" x14ac:dyDescent="0.3">
      <c r="A114" s="238">
        <v>98</v>
      </c>
      <c r="B114" s="239" t="s">
        <v>179</v>
      </c>
      <c r="C114" s="240">
        <v>0</v>
      </c>
      <c r="D114" s="240">
        <v>0</v>
      </c>
      <c r="E114" s="251">
        <v>0</v>
      </c>
    </row>
    <row r="115" spans="1:5" ht="18.75" x14ac:dyDescent="0.3">
      <c r="A115" s="238">
        <v>99</v>
      </c>
      <c r="B115" s="239" t="s">
        <v>180</v>
      </c>
      <c r="C115" s="240">
        <v>0</v>
      </c>
      <c r="D115" s="240">
        <v>0</v>
      </c>
      <c r="E115" s="251">
        <v>0</v>
      </c>
    </row>
    <row r="116" spans="1:5" ht="18.75" x14ac:dyDescent="0.3">
      <c r="A116" s="238">
        <v>100</v>
      </c>
      <c r="B116" s="239" t="s">
        <v>181</v>
      </c>
      <c r="C116" s="240">
        <v>0</v>
      </c>
      <c r="D116" s="240">
        <v>0</v>
      </c>
      <c r="E116" s="251">
        <v>0</v>
      </c>
    </row>
    <row r="117" spans="1:5" ht="18.75" x14ac:dyDescent="0.3">
      <c r="A117" s="238">
        <v>101</v>
      </c>
      <c r="B117" s="239" t="s">
        <v>443</v>
      </c>
      <c r="C117" s="240">
        <v>0</v>
      </c>
      <c r="D117" s="240">
        <v>0</v>
      </c>
      <c r="E117" s="251">
        <v>0</v>
      </c>
    </row>
    <row r="118" spans="1:5" ht="18.75" x14ac:dyDescent="0.3">
      <c r="A118" s="238">
        <v>102</v>
      </c>
      <c r="B118" s="239" t="s">
        <v>182</v>
      </c>
      <c r="C118" s="240">
        <v>0</v>
      </c>
      <c r="D118" s="240">
        <v>0</v>
      </c>
      <c r="E118" s="251">
        <v>0</v>
      </c>
    </row>
    <row r="119" spans="1:5" ht="18.75" x14ac:dyDescent="0.3">
      <c r="A119" s="238">
        <v>103</v>
      </c>
      <c r="B119" s="239" t="s">
        <v>183</v>
      </c>
      <c r="C119" s="240">
        <v>0</v>
      </c>
      <c r="D119" s="240">
        <v>0</v>
      </c>
      <c r="E119" s="251">
        <v>0</v>
      </c>
    </row>
    <row r="120" spans="1:5" s="250" customFormat="1" ht="18.75" x14ac:dyDescent="0.3">
      <c r="A120" s="249"/>
      <c r="B120" s="241" t="s">
        <v>35</v>
      </c>
      <c r="C120" s="154">
        <v>7914.8</v>
      </c>
      <c r="D120" s="154">
        <v>7797.6</v>
      </c>
      <c r="E120" s="154">
        <v>7675.4</v>
      </c>
    </row>
    <row r="121" spans="1:5" ht="18.75" x14ac:dyDescent="0.3">
      <c r="A121" s="238">
        <v>104</v>
      </c>
      <c r="B121" s="239" t="s">
        <v>185</v>
      </c>
      <c r="C121" s="240">
        <v>0</v>
      </c>
      <c r="D121" s="240">
        <v>0</v>
      </c>
      <c r="E121" s="240">
        <v>0</v>
      </c>
    </row>
    <row r="122" spans="1:5" ht="18.75" x14ac:dyDescent="0.3">
      <c r="A122" s="238">
        <v>105</v>
      </c>
      <c r="B122" s="239" t="s">
        <v>186</v>
      </c>
      <c r="C122" s="240">
        <v>799.2</v>
      </c>
      <c r="D122" s="240">
        <v>791</v>
      </c>
      <c r="E122" s="251">
        <v>782.4</v>
      </c>
    </row>
    <row r="123" spans="1:5" ht="18.75" x14ac:dyDescent="0.3">
      <c r="A123" s="238">
        <v>106</v>
      </c>
      <c r="B123" s="239" t="s">
        <v>187</v>
      </c>
      <c r="C123" s="240">
        <v>1782.5</v>
      </c>
      <c r="D123" s="240">
        <v>1729.8</v>
      </c>
      <c r="E123" s="251">
        <v>1674.9</v>
      </c>
    </row>
    <row r="124" spans="1:5" ht="18.75" x14ac:dyDescent="0.3">
      <c r="A124" s="238">
        <v>107</v>
      </c>
      <c r="B124" s="239" t="s">
        <v>188</v>
      </c>
      <c r="C124" s="240">
        <v>2387.8000000000002</v>
      </c>
      <c r="D124" s="240">
        <v>2372.8000000000002</v>
      </c>
      <c r="E124" s="251">
        <v>2357.1</v>
      </c>
    </row>
    <row r="125" spans="1:5" ht="18.75" x14ac:dyDescent="0.3">
      <c r="A125" s="238">
        <v>108</v>
      </c>
      <c r="B125" s="239" t="s">
        <v>189</v>
      </c>
      <c r="C125" s="240">
        <v>2945.3</v>
      </c>
      <c r="D125" s="240">
        <v>2904</v>
      </c>
      <c r="E125" s="251">
        <v>2861</v>
      </c>
    </row>
    <row r="126" spans="1:5" s="250" customFormat="1" ht="18.75" x14ac:dyDescent="0.3">
      <c r="A126" s="249"/>
      <c r="B126" s="241" t="s">
        <v>36</v>
      </c>
      <c r="C126" s="154">
        <v>14593.199999999997</v>
      </c>
      <c r="D126" s="154">
        <v>13556.2</v>
      </c>
      <c r="E126" s="154">
        <v>12787.1</v>
      </c>
    </row>
    <row r="127" spans="1:5" ht="18.75" x14ac:dyDescent="0.3">
      <c r="A127" s="238">
        <v>109</v>
      </c>
      <c r="B127" s="239" t="s">
        <v>191</v>
      </c>
      <c r="C127" s="240">
        <v>0</v>
      </c>
      <c r="D127" s="240">
        <v>0</v>
      </c>
      <c r="E127" s="240">
        <v>0</v>
      </c>
    </row>
    <row r="128" spans="1:5" ht="18.75" x14ac:dyDescent="0.3">
      <c r="A128" s="238">
        <v>110</v>
      </c>
      <c r="B128" s="239" t="s">
        <v>192</v>
      </c>
      <c r="C128" s="240">
        <v>1551.5</v>
      </c>
      <c r="D128" s="240">
        <v>1226.5999999999999</v>
      </c>
      <c r="E128" s="240">
        <v>888.7</v>
      </c>
    </row>
    <row r="129" spans="1:5" ht="18.75" x14ac:dyDescent="0.3">
      <c r="A129" s="238">
        <v>111</v>
      </c>
      <c r="B129" s="239" t="s">
        <v>193</v>
      </c>
      <c r="C129" s="240">
        <v>3866.1</v>
      </c>
      <c r="D129" s="240">
        <v>3520.8</v>
      </c>
      <c r="E129" s="251">
        <v>3401.1</v>
      </c>
    </row>
    <row r="130" spans="1:5" ht="18.75" x14ac:dyDescent="0.3">
      <c r="A130" s="238">
        <v>112</v>
      </c>
      <c r="B130" s="239" t="s">
        <v>194</v>
      </c>
      <c r="C130" s="240">
        <v>2314.1999999999998</v>
      </c>
      <c r="D130" s="240">
        <v>2260.9</v>
      </c>
      <c r="E130" s="251">
        <v>2132.1</v>
      </c>
    </row>
    <row r="131" spans="1:5" ht="18.75" x14ac:dyDescent="0.3">
      <c r="A131" s="238">
        <v>113</v>
      </c>
      <c r="B131" s="239" t="s">
        <v>195</v>
      </c>
      <c r="C131" s="240">
        <v>1437</v>
      </c>
      <c r="D131" s="240">
        <v>1400</v>
      </c>
      <c r="E131" s="251">
        <v>1331.3</v>
      </c>
    </row>
    <row r="132" spans="1:5" ht="18.75" x14ac:dyDescent="0.3">
      <c r="A132" s="238">
        <v>114</v>
      </c>
      <c r="B132" s="239" t="s">
        <v>196</v>
      </c>
      <c r="C132" s="240">
        <v>1940.9</v>
      </c>
      <c r="D132" s="240">
        <v>1890</v>
      </c>
      <c r="E132" s="251">
        <v>1837</v>
      </c>
    </row>
    <row r="133" spans="1:5" ht="18.75" x14ac:dyDescent="0.3">
      <c r="A133" s="238">
        <v>115</v>
      </c>
      <c r="B133" s="239" t="s">
        <v>197</v>
      </c>
      <c r="C133" s="240">
        <v>1208.8</v>
      </c>
      <c r="D133" s="240">
        <v>1016.1</v>
      </c>
      <c r="E133" s="251">
        <v>989.4</v>
      </c>
    </row>
    <row r="134" spans="1:5" ht="18.75" x14ac:dyDescent="0.3">
      <c r="A134" s="238">
        <v>116</v>
      </c>
      <c r="B134" s="239" t="s">
        <v>198</v>
      </c>
      <c r="C134" s="240">
        <v>2274.6999999999998</v>
      </c>
      <c r="D134" s="240">
        <v>2241.8000000000002</v>
      </c>
      <c r="E134" s="251">
        <v>2207.5</v>
      </c>
    </row>
    <row r="135" spans="1:5" s="250" customFormat="1" ht="18.75" x14ac:dyDescent="0.3">
      <c r="A135" s="249"/>
      <c r="B135" s="241" t="s">
        <v>37</v>
      </c>
      <c r="C135" s="154">
        <v>8720.7999999999993</v>
      </c>
      <c r="D135" s="154">
        <v>7719.3000000000011</v>
      </c>
      <c r="E135" s="154">
        <v>7115.6</v>
      </c>
    </row>
    <row r="136" spans="1:5" ht="18.75" x14ac:dyDescent="0.3">
      <c r="A136" s="238">
        <v>117</v>
      </c>
      <c r="B136" s="239" t="s">
        <v>199</v>
      </c>
      <c r="C136" s="240">
        <v>0</v>
      </c>
      <c r="D136" s="240">
        <v>0</v>
      </c>
      <c r="E136" s="240">
        <v>0</v>
      </c>
    </row>
    <row r="137" spans="1:5" ht="18.75" x14ac:dyDescent="0.3">
      <c r="A137" s="238">
        <v>118</v>
      </c>
      <c r="B137" s="239" t="s">
        <v>200</v>
      </c>
      <c r="C137" s="240">
        <v>3029.6</v>
      </c>
      <c r="D137" s="240">
        <v>2301.4</v>
      </c>
      <c r="E137" s="251">
        <v>2025.8</v>
      </c>
    </row>
    <row r="138" spans="1:5" ht="18.75" x14ac:dyDescent="0.3">
      <c r="A138" s="238">
        <v>119</v>
      </c>
      <c r="B138" s="239" t="s">
        <v>201</v>
      </c>
      <c r="C138" s="240">
        <v>3082.2</v>
      </c>
      <c r="D138" s="240">
        <v>3012.3</v>
      </c>
      <c r="E138" s="251">
        <v>2939.7</v>
      </c>
    </row>
    <row r="139" spans="1:5" ht="18.75" x14ac:dyDescent="0.3">
      <c r="A139" s="238">
        <v>120</v>
      </c>
      <c r="B139" s="239" t="s">
        <v>202</v>
      </c>
      <c r="C139" s="240">
        <v>2609</v>
      </c>
      <c r="D139" s="240">
        <v>2405.6</v>
      </c>
      <c r="E139" s="251">
        <v>2150.1</v>
      </c>
    </row>
    <row r="140" spans="1:5" s="250" customFormat="1" ht="18.75" x14ac:dyDescent="0.3">
      <c r="A140" s="252"/>
      <c r="B140" s="241" t="s">
        <v>38</v>
      </c>
      <c r="C140" s="154">
        <v>2630.3</v>
      </c>
      <c r="D140" s="154">
        <v>2384.3999999999996</v>
      </c>
      <c r="E140" s="154">
        <v>2199.1</v>
      </c>
    </row>
    <row r="141" spans="1:5" ht="18.75" x14ac:dyDescent="0.3">
      <c r="A141" s="238">
        <v>121</v>
      </c>
      <c r="B141" s="239" t="s">
        <v>204</v>
      </c>
      <c r="C141" s="240">
        <v>0</v>
      </c>
      <c r="D141" s="240">
        <v>0</v>
      </c>
      <c r="E141" s="240">
        <v>0</v>
      </c>
    </row>
    <row r="142" spans="1:5" ht="18.75" x14ac:dyDescent="0.3">
      <c r="A142" s="238">
        <v>122</v>
      </c>
      <c r="B142" s="239" t="s">
        <v>205</v>
      </c>
      <c r="C142" s="240">
        <v>911.1</v>
      </c>
      <c r="D142" s="240">
        <v>816.8</v>
      </c>
      <c r="E142" s="251">
        <v>778.4</v>
      </c>
    </row>
    <row r="143" spans="1:5" ht="18.75" x14ac:dyDescent="0.3">
      <c r="A143" s="238">
        <v>123</v>
      </c>
      <c r="B143" s="239" t="s">
        <v>206</v>
      </c>
      <c r="C143" s="240">
        <v>1719.2</v>
      </c>
      <c r="D143" s="240">
        <v>1567.6</v>
      </c>
      <c r="E143" s="251">
        <v>1420.7</v>
      </c>
    </row>
    <row r="144" spans="1:5" s="250" customFormat="1" ht="18.75" x14ac:dyDescent="0.3">
      <c r="A144" s="249"/>
      <c r="B144" s="241" t="s">
        <v>39</v>
      </c>
      <c r="C144" s="154">
        <v>13255.2</v>
      </c>
      <c r="D144" s="154">
        <v>12084.600000000002</v>
      </c>
      <c r="E144" s="154">
        <v>10946.9</v>
      </c>
    </row>
    <row r="145" spans="1:5" ht="18.75" x14ac:dyDescent="0.3">
      <c r="A145" s="238">
        <v>124</v>
      </c>
      <c r="B145" s="239" t="s">
        <v>372</v>
      </c>
      <c r="C145" s="240">
        <v>622.20000000000005</v>
      </c>
      <c r="D145" s="240">
        <v>204.1</v>
      </c>
      <c r="E145" s="240">
        <v>0</v>
      </c>
    </row>
    <row r="146" spans="1:5" ht="18.75" x14ac:dyDescent="0.3">
      <c r="A146" s="238">
        <v>125</v>
      </c>
      <c r="B146" s="239" t="s">
        <v>288</v>
      </c>
      <c r="C146" s="240">
        <v>1571</v>
      </c>
      <c r="D146" s="240">
        <v>1531.6</v>
      </c>
      <c r="E146" s="251">
        <v>1352.3</v>
      </c>
    </row>
    <row r="147" spans="1:5" ht="18.75" x14ac:dyDescent="0.3">
      <c r="A147" s="238">
        <v>126</v>
      </c>
      <c r="B147" s="239" t="s">
        <v>289</v>
      </c>
      <c r="C147" s="240">
        <v>626.9</v>
      </c>
      <c r="D147" s="240">
        <v>568.4</v>
      </c>
      <c r="E147" s="251">
        <v>507.5</v>
      </c>
    </row>
    <row r="148" spans="1:5" ht="18.75" x14ac:dyDescent="0.3">
      <c r="A148" s="238">
        <v>127</v>
      </c>
      <c r="B148" s="239" t="s">
        <v>290</v>
      </c>
      <c r="C148" s="240">
        <v>113.9</v>
      </c>
      <c r="D148" s="240">
        <v>0</v>
      </c>
      <c r="E148" s="251">
        <v>0</v>
      </c>
    </row>
    <row r="149" spans="1:5" ht="18.75" x14ac:dyDescent="0.3">
      <c r="A149" s="238">
        <v>128</v>
      </c>
      <c r="B149" s="239" t="s">
        <v>291</v>
      </c>
      <c r="C149" s="240">
        <v>1289.0999999999999</v>
      </c>
      <c r="D149" s="240">
        <v>1183.2</v>
      </c>
      <c r="E149" s="251">
        <v>944.6</v>
      </c>
    </row>
    <row r="150" spans="1:5" ht="18.75" x14ac:dyDescent="0.3">
      <c r="A150" s="238">
        <v>129</v>
      </c>
      <c r="B150" s="239" t="s">
        <v>292</v>
      </c>
      <c r="C150" s="240">
        <v>1160.2</v>
      </c>
      <c r="D150" s="240">
        <v>1106.3</v>
      </c>
      <c r="E150" s="251">
        <v>968.7</v>
      </c>
    </row>
    <row r="151" spans="1:5" ht="18.75" x14ac:dyDescent="0.3">
      <c r="A151" s="238">
        <v>130</v>
      </c>
      <c r="B151" s="239" t="s">
        <v>293</v>
      </c>
      <c r="C151" s="240">
        <v>564.6</v>
      </c>
      <c r="D151" s="240">
        <v>526</v>
      </c>
      <c r="E151" s="251">
        <v>485.7</v>
      </c>
    </row>
    <row r="152" spans="1:5" ht="18.75" x14ac:dyDescent="0.3">
      <c r="A152" s="238">
        <v>131</v>
      </c>
      <c r="B152" s="239" t="s">
        <v>294</v>
      </c>
      <c r="C152" s="240">
        <v>942.4</v>
      </c>
      <c r="D152" s="240">
        <v>848.2</v>
      </c>
      <c r="E152" s="251">
        <v>797</v>
      </c>
    </row>
    <row r="153" spans="1:5" ht="18.75" x14ac:dyDescent="0.3">
      <c r="A153" s="238">
        <v>132</v>
      </c>
      <c r="B153" s="239" t="s">
        <v>295</v>
      </c>
      <c r="C153" s="240">
        <v>3526.4</v>
      </c>
      <c r="D153" s="240">
        <v>3464.9</v>
      </c>
      <c r="E153" s="251">
        <v>3401</v>
      </c>
    </row>
    <row r="154" spans="1:5" ht="18.75" x14ac:dyDescent="0.3">
      <c r="A154" s="238">
        <v>133</v>
      </c>
      <c r="B154" s="239" t="s">
        <v>296</v>
      </c>
      <c r="C154" s="240">
        <v>2118.1</v>
      </c>
      <c r="D154" s="240">
        <v>2071.1999999999998</v>
      </c>
      <c r="E154" s="251">
        <v>2022.4</v>
      </c>
    </row>
    <row r="155" spans="1:5" ht="18.75" x14ac:dyDescent="0.3">
      <c r="A155" s="238">
        <v>134</v>
      </c>
      <c r="B155" s="239" t="s">
        <v>297</v>
      </c>
      <c r="C155" s="240">
        <v>720.4</v>
      </c>
      <c r="D155" s="240">
        <v>580.70000000000005</v>
      </c>
      <c r="E155" s="251">
        <v>467.7</v>
      </c>
    </row>
    <row r="156" spans="1:5" s="250" customFormat="1" ht="18.75" x14ac:dyDescent="0.3">
      <c r="A156" s="249"/>
      <c r="B156" s="241" t="s">
        <v>40</v>
      </c>
      <c r="C156" s="154">
        <v>6360.1</v>
      </c>
      <c r="D156" s="154">
        <v>4358.2000000000007</v>
      </c>
      <c r="E156" s="154">
        <v>2118.4</v>
      </c>
    </row>
    <row r="157" spans="1:5" ht="18.75" x14ac:dyDescent="0.3">
      <c r="A157" s="238">
        <v>135</v>
      </c>
      <c r="B157" s="239" t="s">
        <v>444</v>
      </c>
      <c r="C157" s="240">
        <v>0</v>
      </c>
      <c r="D157" s="240">
        <v>0</v>
      </c>
      <c r="E157" s="251">
        <v>0</v>
      </c>
    </row>
    <row r="158" spans="1:5" ht="18.75" x14ac:dyDescent="0.3">
      <c r="A158" s="238">
        <v>136</v>
      </c>
      <c r="B158" s="239" t="s">
        <v>373</v>
      </c>
      <c r="C158" s="240">
        <v>0</v>
      </c>
      <c r="D158" s="240">
        <v>0</v>
      </c>
      <c r="E158" s="251">
        <v>0</v>
      </c>
    </row>
    <row r="159" spans="1:5" ht="18.75" x14ac:dyDescent="0.3">
      <c r="A159" s="238">
        <v>137</v>
      </c>
      <c r="B159" s="239" t="s">
        <v>374</v>
      </c>
      <c r="C159" s="240">
        <v>1411.3</v>
      </c>
      <c r="D159" s="240">
        <v>1367.7</v>
      </c>
      <c r="E159" s="251">
        <v>1054.9000000000001</v>
      </c>
    </row>
    <row r="160" spans="1:5" ht="18.75" x14ac:dyDescent="0.3">
      <c r="A160" s="238">
        <v>138</v>
      </c>
      <c r="B160" s="239" t="s">
        <v>375</v>
      </c>
      <c r="C160" s="240">
        <v>1181</v>
      </c>
      <c r="D160" s="240">
        <v>564.1</v>
      </c>
      <c r="E160" s="251">
        <v>128.19999999999999</v>
      </c>
    </row>
    <row r="161" spans="1:5" ht="18.75" x14ac:dyDescent="0.3">
      <c r="A161" s="238">
        <v>139</v>
      </c>
      <c r="B161" s="239" t="s">
        <v>376</v>
      </c>
      <c r="C161" s="240">
        <v>592.29999999999995</v>
      </c>
      <c r="D161" s="240">
        <v>241.5</v>
      </c>
      <c r="E161" s="251">
        <v>0</v>
      </c>
    </row>
    <row r="162" spans="1:5" ht="18.75" x14ac:dyDescent="0.3">
      <c r="A162" s="238">
        <v>140</v>
      </c>
      <c r="B162" s="239" t="s">
        <v>377</v>
      </c>
      <c r="C162" s="240">
        <v>2112.6999999999998</v>
      </c>
      <c r="D162" s="240">
        <v>1452.9</v>
      </c>
      <c r="E162" s="251">
        <v>646.79999999999995</v>
      </c>
    </row>
    <row r="163" spans="1:5" ht="18.75" x14ac:dyDescent="0.3">
      <c r="A163" s="238">
        <v>141</v>
      </c>
      <c r="B163" s="239" t="s">
        <v>378</v>
      </c>
      <c r="C163" s="240">
        <v>1062.8</v>
      </c>
      <c r="D163" s="240">
        <v>732</v>
      </c>
      <c r="E163" s="251">
        <v>288.5</v>
      </c>
    </row>
    <row r="164" spans="1:5" s="250" customFormat="1" ht="18.75" x14ac:dyDescent="0.3">
      <c r="A164" s="249"/>
      <c r="B164" s="241" t="s">
        <v>41</v>
      </c>
      <c r="C164" s="154">
        <v>4666.7</v>
      </c>
      <c r="D164" s="154">
        <v>4424.5999999999995</v>
      </c>
      <c r="E164" s="154">
        <v>4001</v>
      </c>
    </row>
    <row r="165" spans="1:5" ht="18.75" x14ac:dyDescent="0.3">
      <c r="A165" s="238">
        <v>142</v>
      </c>
      <c r="B165" s="239" t="s">
        <v>228</v>
      </c>
      <c r="C165" s="240">
        <v>0</v>
      </c>
      <c r="D165" s="240">
        <v>0</v>
      </c>
      <c r="E165" s="240">
        <v>0</v>
      </c>
    </row>
    <row r="166" spans="1:5" ht="18.75" x14ac:dyDescent="0.3">
      <c r="A166" s="238">
        <v>143</v>
      </c>
      <c r="B166" s="239" t="s">
        <v>229</v>
      </c>
      <c r="C166" s="240">
        <v>823</v>
      </c>
      <c r="D166" s="240">
        <v>773</v>
      </c>
      <c r="E166" s="251">
        <v>534.6</v>
      </c>
    </row>
    <row r="167" spans="1:5" ht="18.75" x14ac:dyDescent="0.3">
      <c r="A167" s="238">
        <v>144</v>
      </c>
      <c r="B167" s="239" t="s">
        <v>230</v>
      </c>
      <c r="C167" s="240">
        <v>801.1</v>
      </c>
      <c r="D167" s="240">
        <v>794.2</v>
      </c>
      <c r="E167" s="251">
        <v>787.1</v>
      </c>
    </row>
    <row r="168" spans="1:5" ht="18.75" x14ac:dyDescent="0.3">
      <c r="A168" s="238">
        <v>145</v>
      </c>
      <c r="B168" s="239" t="s">
        <v>231</v>
      </c>
      <c r="C168" s="240">
        <v>192.7</v>
      </c>
      <c r="D168" s="240">
        <v>160.4</v>
      </c>
      <c r="E168" s="251">
        <v>90.7</v>
      </c>
    </row>
    <row r="169" spans="1:5" ht="18.75" x14ac:dyDescent="0.3">
      <c r="A169" s="238">
        <v>146</v>
      </c>
      <c r="B169" s="239" t="s">
        <v>232</v>
      </c>
      <c r="C169" s="240">
        <v>1245.8</v>
      </c>
      <c r="D169" s="240">
        <v>1232.0999999999999</v>
      </c>
      <c r="E169" s="251">
        <v>1217.8</v>
      </c>
    </row>
    <row r="170" spans="1:5" ht="18.75" x14ac:dyDescent="0.3">
      <c r="A170" s="238">
        <v>147</v>
      </c>
      <c r="B170" s="239" t="s">
        <v>233</v>
      </c>
      <c r="C170" s="240">
        <v>359.4</v>
      </c>
      <c r="D170" s="240">
        <v>337.9</v>
      </c>
      <c r="E170" s="251">
        <v>308.39999999999998</v>
      </c>
    </row>
    <row r="171" spans="1:5" ht="18.75" x14ac:dyDescent="0.3">
      <c r="A171" s="238">
        <v>148</v>
      </c>
      <c r="B171" s="239" t="s">
        <v>234</v>
      </c>
      <c r="C171" s="240">
        <v>564.9</v>
      </c>
      <c r="D171" s="240">
        <v>458.7</v>
      </c>
      <c r="E171" s="251">
        <v>406.1</v>
      </c>
    </row>
    <row r="172" spans="1:5" ht="18.75" x14ac:dyDescent="0.3">
      <c r="A172" s="238">
        <v>149</v>
      </c>
      <c r="B172" s="239" t="s">
        <v>235</v>
      </c>
      <c r="C172" s="240">
        <v>679.8</v>
      </c>
      <c r="D172" s="240">
        <v>668.3</v>
      </c>
      <c r="E172" s="251">
        <v>656.3</v>
      </c>
    </row>
    <row r="173" spans="1:5" s="250" customFormat="1" ht="18.75" x14ac:dyDescent="0.3">
      <c r="A173" s="249"/>
      <c r="B173" s="241" t="s">
        <v>42</v>
      </c>
      <c r="C173" s="154">
        <v>12346.8</v>
      </c>
      <c r="D173" s="154">
        <v>11863.5</v>
      </c>
      <c r="E173" s="154">
        <v>11304</v>
      </c>
    </row>
    <row r="174" spans="1:5" ht="18.75" x14ac:dyDescent="0.3">
      <c r="A174" s="238">
        <v>150</v>
      </c>
      <c r="B174" s="239" t="s">
        <v>237</v>
      </c>
      <c r="C174" s="240">
        <v>3588.6</v>
      </c>
      <c r="D174" s="240">
        <v>3226.4</v>
      </c>
      <c r="E174" s="240">
        <v>2849.7</v>
      </c>
    </row>
    <row r="175" spans="1:5" ht="18.75" x14ac:dyDescent="0.3">
      <c r="A175" s="238">
        <v>151</v>
      </c>
      <c r="B175" s="239" t="s">
        <v>379</v>
      </c>
      <c r="C175" s="240">
        <v>966.6</v>
      </c>
      <c r="D175" s="240">
        <v>932.7</v>
      </c>
      <c r="E175" s="251">
        <v>878.9</v>
      </c>
    </row>
    <row r="176" spans="1:5" ht="18.75" x14ac:dyDescent="0.3">
      <c r="A176" s="238">
        <v>152</v>
      </c>
      <c r="B176" s="239" t="s">
        <v>178</v>
      </c>
      <c r="C176" s="240">
        <v>2196.3000000000002</v>
      </c>
      <c r="D176" s="240">
        <v>2160.3000000000002</v>
      </c>
      <c r="E176" s="251">
        <v>2131.6</v>
      </c>
    </row>
    <row r="177" spans="1:5" ht="18.75" x14ac:dyDescent="0.3">
      <c r="A177" s="238">
        <v>153</v>
      </c>
      <c r="B177" s="239" t="s">
        <v>380</v>
      </c>
      <c r="C177" s="240">
        <v>2254.6</v>
      </c>
      <c r="D177" s="240">
        <v>2242.3000000000002</v>
      </c>
      <c r="E177" s="251">
        <v>2229.6</v>
      </c>
    </row>
    <row r="178" spans="1:5" ht="18.75" x14ac:dyDescent="0.3">
      <c r="A178" s="238">
        <v>154</v>
      </c>
      <c r="B178" s="239" t="s">
        <v>381</v>
      </c>
      <c r="C178" s="240">
        <v>3340.7</v>
      </c>
      <c r="D178" s="240">
        <v>3301.8</v>
      </c>
      <c r="E178" s="251">
        <v>3214.2</v>
      </c>
    </row>
    <row r="179" spans="1:5" s="250" customFormat="1" ht="18.75" x14ac:dyDescent="0.3">
      <c r="A179" s="249"/>
      <c r="B179" s="241" t="s">
        <v>43</v>
      </c>
      <c r="C179" s="154">
        <v>10788</v>
      </c>
      <c r="D179" s="154">
        <v>10020.1</v>
      </c>
      <c r="E179" s="154">
        <v>8762</v>
      </c>
    </row>
    <row r="180" spans="1:5" ht="18.75" x14ac:dyDescent="0.3">
      <c r="A180" s="238">
        <v>155</v>
      </c>
      <c r="B180" s="239" t="s">
        <v>243</v>
      </c>
      <c r="C180" s="240">
        <v>0</v>
      </c>
      <c r="D180" s="240">
        <v>0</v>
      </c>
      <c r="E180" s="240">
        <v>0</v>
      </c>
    </row>
    <row r="181" spans="1:5" ht="18.75" x14ac:dyDescent="0.3">
      <c r="A181" s="238">
        <v>156</v>
      </c>
      <c r="B181" s="239" t="s">
        <v>382</v>
      </c>
      <c r="C181" s="240">
        <v>1073.2</v>
      </c>
      <c r="D181" s="240">
        <v>831.9</v>
      </c>
      <c r="E181" s="251">
        <v>458.8</v>
      </c>
    </row>
    <row r="182" spans="1:5" ht="18.75" x14ac:dyDescent="0.3">
      <c r="A182" s="238">
        <v>157</v>
      </c>
      <c r="B182" s="239" t="s">
        <v>383</v>
      </c>
      <c r="C182" s="240">
        <v>1415.8</v>
      </c>
      <c r="D182" s="240">
        <v>1371.6</v>
      </c>
      <c r="E182" s="251">
        <v>1325.6</v>
      </c>
    </row>
    <row r="183" spans="1:5" ht="18.75" x14ac:dyDescent="0.3">
      <c r="A183" s="238">
        <v>158</v>
      </c>
      <c r="B183" s="239" t="s">
        <v>246</v>
      </c>
      <c r="C183" s="240">
        <v>1802.1</v>
      </c>
      <c r="D183" s="240">
        <v>1764.6</v>
      </c>
      <c r="E183" s="251">
        <v>1538.8</v>
      </c>
    </row>
    <row r="184" spans="1:5" ht="18.75" x14ac:dyDescent="0.3">
      <c r="A184" s="238">
        <v>159</v>
      </c>
      <c r="B184" s="239" t="s">
        <v>247</v>
      </c>
      <c r="C184" s="240">
        <v>0</v>
      </c>
      <c r="D184" s="240">
        <v>0</v>
      </c>
      <c r="E184" s="251">
        <v>0</v>
      </c>
    </row>
    <row r="185" spans="1:5" ht="18.75" x14ac:dyDescent="0.3">
      <c r="A185" s="238">
        <v>160</v>
      </c>
      <c r="B185" s="239" t="s">
        <v>384</v>
      </c>
      <c r="C185" s="240">
        <v>3454.9</v>
      </c>
      <c r="D185" s="240">
        <v>3391.1</v>
      </c>
      <c r="E185" s="251">
        <v>3324.8</v>
      </c>
    </row>
    <row r="186" spans="1:5" ht="18.75" x14ac:dyDescent="0.3">
      <c r="A186" s="238">
        <v>161</v>
      </c>
      <c r="B186" s="239" t="s">
        <v>385</v>
      </c>
      <c r="C186" s="240">
        <v>529.29999999999995</v>
      </c>
      <c r="D186" s="240">
        <v>352</v>
      </c>
      <c r="E186" s="251">
        <v>67.7</v>
      </c>
    </row>
    <row r="187" spans="1:5" ht="18.75" x14ac:dyDescent="0.3">
      <c r="A187" s="238">
        <v>162</v>
      </c>
      <c r="B187" s="239" t="s">
        <v>386</v>
      </c>
      <c r="C187" s="240">
        <v>2512.6999999999998</v>
      </c>
      <c r="D187" s="240">
        <v>2308.9</v>
      </c>
      <c r="E187" s="251">
        <v>2046.3</v>
      </c>
    </row>
    <row r="188" spans="1:5" ht="18.75" x14ac:dyDescent="0.3">
      <c r="A188" s="238">
        <v>163</v>
      </c>
      <c r="B188" s="239" t="s">
        <v>251</v>
      </c>
      <c r="C188" s="240">
        <v>0</v>
      </c>
      <c r="D188" s="240">
        <v>0</v>
      </c>
      <c r="E188" s="251">
        <v>0</v>
      </c>
    </row>
    <row r="189" spans="1:5" s="250" customFormat="1" ht="18.75" x14ac:dyDescent="0.3">
      <c r="A189" s="249"/>
      <c r="B189" s="241" t="s">
        <v>44</v>
      </c>
      <c r="C189" s="154">
        <v>24400.799999999999</v>
      </c>
      <c r="D189" s="154">
        <v>20828.500000000004</v>
      </c>
      <c r="E189" s="154">
        <v>17220</v>
      </c>
    </row>
    <row r="190" spans="1:5" ht="18.75" x14ac:dyDescent="0.3">
      <c r="A190" s="238">
        <v>164</v>
      </c>
      <c r="B190" s="239" t="s">
        <v>253</v>
      </c>
      <c r="C190" s="240">
        <v>1023.5</v>
      </c>
      <c r="D190" s="240">
        <v>966.8</v>
      </c>
      <c r="E190" s="251">
        <v>849.4</v>
      </c>
    </row>
    <row r="191" spans="1:5" ht="18.75" x14ac:dyDescent="0.3">
      <c r="A191" s="238">
        <v>165</v>
      </c>
      <c r="B191" s="239" t="s">
        <v>254</v>
      </c>
      <c r="C191" s="240">
        <v>1024.0999999999999</v>
      </c>
      <c r="D191" s="240">
        <v>0</v>
      </c>
      <c r="E191" s="251">
        <v>0</v>
      </c>
    </row>
    <row r="192" spans="1:5" ht="18.75" x14ac:dyDescent="0.3">
      <c r="A192" s="238">
        <v>166</v>
      </c>
      <c r="B192" s="239" t="s">
        <v>308</v>
      </c>
      <c r="C192" s="240">
        <v>2818.2</v>
      </c>
      <c r="D192" s="240">
        <v>2015.8</v>
      </c>
      <c r="E192" s="251">
        <v>968.1</v>
      </c>
    </row>
    <row r="193" spans="1:5" ht="18.75" x14ac:dyDescent="0.3">
      <c r="A193" s="238">
        <v>167</v>
      </c>
      <c r="B193" s="239" t="s">
        <v>256</v>
      </c>
      <c r="C193" s="240">
        <v>2615.6999999999998</v>
      </c>
      <c r="D193" s="240">
        <v>2164.5</v>
      </c>
      <c r="E193" s="251">
        <v>1920.9</v>
      </c>
    </row>
    <row r="194" spans="1:5" ht="18.75" x14ac:dyDescent="0.3">
      <c r="A194" s="238">
        <v>168</v>
      </c>
      <c r="B194" s="239" t="s">
        <v>257</v>
      </c>
      <c r="C194" s="240">
        <v>3050.8</v>
      </c>
      <c r="D194" s="240">
        <v>2713.9</v>
      </c>
      <c r="E194" s="251">
        <v>2263.5</v>
      </c>
    </row>
    <row r="195" spans="1:5" ht="18.75" x14ac:dyDescent="0.3">
      <c r="A195" s="238">
        <v>169</v>
      </c>
      <c r="B195" s="239" t="s">
        <v>258</v>
      </c>
      <c r="C195" s="240">
        <v>1331.2</v>
      </c>
      <c r="D195" s="240">
        <v>1142.0999999999999</v>
      </c>
      <c r="E195" s="251">
        <v>984.5</v>
      </c>
    </row>
    <row r="196" spans="1:5" ht="18.75" x14ac:dyDescent="0.3">
      <c r="A196" s="238">
        <v>170</v>
      </c>
      <c r="B196" s="239" t="s">
        <v>259</v>
      </c>
      <c r="C196" s="240">
        <v>2009.4</v>
      </c>
      <c r="D196" s="240">
        <v>1940.6</v>
      </c>
      <c r="E196" s="251">
        <v>1887.7</v>
      </c>
    </row>
    <row r="197" spans="1:5" ht="18.75" x14ac:dyDescent="0.3">
      <c r="A197" s="238">
        <v>171</v>
      </c>
      <c r="B197" s="239" t="s">
        <v>260</v>
      </c>
      <c r="C197" s="240">
        <v>2915.6</v>
      </c>
      <c r="D197" s="240">
        <v>2834.6</v>
      </c>
      <c r="E197" s="251">
        <v>2525.5</v>
      </c>
    </row>
    <row r="198" spans="1:5" ht="18.75" x14ac:dyDescent="0.3">
      <c r="A198" s="238">
        <v>172</v>
      </c>
      <c r="B198" s="239" t="s">
        <v>261</v>
      </c>
      <c r="C198" s="240">
        <v>1690.6</v>
      </c>
      <c r="D198" s="240">
        <v>1480</v>
      </c>
      <c r="E198" s="251">
        <v>1164.5</v>
      </c>
    </row>
    <row r="199" spans="1:5" ht="18.75" x14ac:dyDescent="0.3">
      <c r="A199" s="238">
        <v>173</v>
      </c>
      <c r="B199" s="239" t="s">
        <v>262</v>
      </c>
      <c r="C199" s="240">
        <v>1200.5</v>
      </c>
      <c r="D199" s="240">
        <v>1148.5</v>
      </c>
      <c r="E199" s="251">
        <v>1106.9000000000001</v>
      </c>
    </row>
    <row r="200" spans="1:5" ht="18.75" x14ac:dyDescent="0.3">
      <c r="A200" s="238">
        <v>174</v>
      </c>
      <c r="B200" s="239" t="s">
        <v>263</v>
      </c>
      <c r="C200" s="240">
        <v>794.2</v>
      </c>
      <c r="D200" s="240">
        <v>764.2</v>
      </c>
      <c r="E200" s="251">
        <v>658.5</v>
      </c>
    </row>
    <row r="201" spans="1:5" ht="18.75" x14ac:dyDescent="0.3">
      <c r="A201" s="238">
        <v>175</v>
      </c>
      <c r="B201" s="239" t="s">
        <v>264</v>
      </c>
      <c r="C201" s="240">
        <v>747.2</v>
      </c>
      <c r="D201" s="240">
        <v>620.5</v>
      </c>
      <c r="E201" s="251">
        <v>70.8</v>
      </c>
    </row>
    <row r="202" spans="1:5" ht="18.75" x14ac:dyDescent="0.3">
      <c r="A202" s="238">
        <v>176</v>
      </c>
      <c r="B202" s="239" t="s">
        <v>265</v>
      </c>
      <c r="C202" s="240">
        <v>538.1</v>
      </c>
      <c r="D202" s="240">
        <v>515.79999999999995</v>
      </c>
      <c r="E202" s="251">
        <v>492.5</v>
      </c>
    </row>
    <row r="203" spans="1:5" ht="18.75" x14ac:dyDescent="0.3">
      <c r="A203" s="238">
        <v>177</v>
      </c>
      <c r="B203" s="239" t="s">
        <v>266</v>
      </c>
      <c r="C203" s="240">
        <v>2641.7</v>
      </c>
      <c r="D203" s="240">
        <v>2521.1999999999998</v>
      </c>
      <c r="E203" s="251">
        <v>2327.1999999999998</v>
      </c>
    </row>
    <row r="204" spans="1:5" s="250" customFormat="1" ht="18.75" x14ac:dyDescent="0.3">
      <c r="A204" s="249"/>
      <c r="B204" s="241" t="s">
        <v>45</v>
      </c>
      <c r="C204" s="154">
        <v>6232.3</v>
      </c>
      <c r="D204" s="154">
        <v>5950.6000000000013</v>
      </c>
      <c r="E204" s="154">
        <v>5391.4000000000005</v>
      </c>
    </row>
    <row r="205" spans="1:5" ht="18.75" x14ac:dyDescent="0.3">
      <c r="A205" s="238">
        <v>178</v>
      </c>
      <c r="B205" s="239" t="s">
        <v>268</v>
      </c>
      <c r="C205" s="240">
        <v>0</v>
      </c>
      <c r="D205" s="240">
        <v>0</v>
      </c>
      <c r="E205" s="240">
        <v>0</v>
      </c>
    </row>
    <row r="206" spans="1:5" ht="18.75" x14ac:dyDescent="0.3">
      <c r="A206" s="238">
        <v>179</v>
      </c>
      <c r="B206" s="239" t="s">
        <v>269</v>
      </c>
      <c r="C206" s="240">
        <v>0</v>
      </c>
      <c r="D206" s="240">
        <v>0</v>
      </c>
      <c r="E206" s="251">
        <v>0</v>
      </c>
    </row>
    <row r="207" spans="1:5" ht="18.75" x14ac:dyDescent="0.3">
      <c r="A207" s="238">
        <v>180</v>
      </c>
      <c r="B207" s="239" t="s">
        <v>270</v>
      </c>
      <c r="C207" s="240">
        <v>484.8</v>
      </c>
      <c r="D207" s="240">
        <v>398.8</v>
      </c>
      <c r="E207" s="251">
        <v>306.3</v>
      </c>
    </row>
    <row r="208" spans="1:5" ht="18.75" x14ac:dyDescent="0.3">
      <c r="A208" s="238">
        <v>181</v>
      </c>
      <c r="B208" s="239" t="s">
        <v>271</v>
      </c>
      <c r="C208" s="240">
        <v>2305.6999999999998</v>
      </c>
      <c r="D208" s="240">
        <v>2265.4</v>
      </c>
      <c r="E208" s="251">
        <v>2089.6</v>
      </c>
    </row>
    <row r="209" spans="1:5" ht="18.75" x14ac:dyDescent="0.3">
      <c r="A209" s="238">
        <v>182</v>
      </c>
      <c r="B209" s="239" t="s">
        <v>272</v>
      </c>
      <c r="C209" s="240">
        <v>1217.5</v>
      </c>
      <c r="D209" s="240">
        <v>1125.7</v>
      </c>
      <c r="E209" s="251">
        <v>975.5</v>
      </c>
    </row>
    <row r="210" spans="1:5" ht="18.75" x14ac:dyDescent="0.3">
      <c r="A210" s="238">
        <v>183</v>
      </c>
      <c r="B210" s="239" t="s">
        <v>273</v>
      </c>
      <c r="C210" s="240">
        <v>696.1</v>
      </c>
      <c r="D210" s="240">
        <v>673.8</v>
      </c>
      <c r="E210" s="251">
        <v>650.70000000000005</v>
      </c>
    </row>
    <row r="211" spans="1:5" ht="18.75" x14ac:dyDescent="0.3">
      <c r="A211" s="238">
        <v>184</v>
      </c>
      <c r="B211" s="239" t="s">
        <v>274</v>
      </c>
      <c r="C211" s="240">
        <v>829.4</v>
      </c>
      <c r="D211" s="240">
        <v>810.3</v>
      </c>
      <c r="E211" s="251">
        <v>748.3</v>
      </c>
    </row>
    <row r="212" spans="1:5" ht="18.75" x14ac:dyDescent="0.3">
      <c r="A212" s="238">
        <v>185</v>
      </c>
      <c r="B212" s="239" t="s">
        <v>275</v>
      </c>
      <c r="C212" s="240">
        <v>0</v>
      </c>
      <c r="D212" s="240">
        <v>0</v>
      </c>
      <c r="E212" s="251">
        <v>0</v>
      </c>
    </row>
    <row r="213" spans="1:5" ht="18.75" x14ac:dyDescent="0.3">
      <c r="A213" s="238">
        <v>186</v>
      </c>
      <c r="B213" s="239" t="s">
        <v>276</v>
      </c>
      <c r="C213" s="240">
        <v>698.8</v>
      </c>
      <c r="D213" s="240">
        <v>676.6</v>
      </c>
      <c r="E213" s="251">
        <v>621</v>
      </c>
    </row>
    <row r="214" spans="1:5" s="250" customFormat="1" ht="18.75" x14ac:dyDescent="0.3">
      <c r="A214" s="249"/>
      <c r="B214" s="241" t="s">
        <v>46</v>
      </c>
      <c r="C214" s="154">
        <v>6920.4</v>
      </c>
      <c r="D214" s="154">
        <v>6462.0999999999995</v>
      </c>
      <c r="E214" s="154">
        <v>5525.5</v>
      </c>
    </row>
    <row r="215" spans="1:5" ht="18.75" x14ac:dyDescent="0.3">
      <c r="A215" s="238">
        <v>187</v>
      </c>
      <c r="B215" s="239" t="s">
        <v>278</v>
      </c>
      <c r="C215" s="240">
        <v>1563</v>
      </c>
      <c r="D215" s="240">
        <v>1193.5999999999999</v>
      </c>
      <c r="E215" s="240">
        <v>527.29999999999995</v>
      </c>
    </row>
    <row r="216" spans="1:5" ht="18.75" x14ac:dyDescent="0.3">
      <c r="A216" s="238">
        <v>188</v>
      </c>
      <c r="B216" s="239" t="s">
        <v>279</v>
      </c>
      <c r="C216" s="240">
        <v>0</v>
      </c>
      <c r="D216" s="240">
        <v>0</v>
      </c>
      <c r="E216" s="240">
        <v>0</v>
      </c>
    </row>
    <row r="217" spans="1:5" ht="18.75" x14ac:dyDescent="0.3">
      <c r="A217" s="238">
        <v>189</v>
      </c>
      <c r="B217" s="239" t="s">
        <v>280</v>
      </c>
      <c r="C217" s="240">
        <v>2517.4</v>
      </c>
      <c r="D217" s="240">
        <v>2481.6999999999998</v>
      </c>
      <c r="E217" s="251">
        <v>2444.6999999999998</v>
      </c>
    </row>
    <row r="218" spans="1:5" ht="18.75" x14ac:dyDescent="0.3">
      <c r="A218" s="238">
        <v>190</v>
      </c>
      <c r="B218" s="239" t="s">
        <v>281</v>
      </c>
      <c r="C218" s="240">
        <v>2224</v>
      </c>
      <c r="D218" s="240">
        <v>2179.6</v>
      </c>
      <c r="E218" s="251">
        <v>1958.9</v>
      </c>
    </row>
    <row r="219" spans="1:5" ht="18.75" x14ac:dyDescent="0.3">
      <c r="A219" s="238">
        <v>191</v>
      </c>
      <c r="B219" s="239" t="s">
        <v>282</v>
      </c>
      <c r="C219" s="240">
        <v>616</v>
      </c>
      <c r="D219" s="240">
        <v>607.20000000000005</v>
      </c>
      <c r="E219" s="251">
        <v>594.6</v>
      </c>
    </row>
    <row r="220" spans="1:5" s="250" customFormat="1" ht="18.75" x14ac:dyDescent="0.3">
      <c r="A220" s="249"/>
      <c r="B220" s="241" t="s">
        <v>361</v>
      </c>
      <c r="C220" s="253"/>
      <c r="D220" s="254">
        <v>19038.600000000006</v>
      </c>
      <c r="E220" s="254">
        <v>33619.300000000003</v>
      </c>
    </row>
    <row r="221" spans="1:5" ht="18.75" x14ac:dyDescent="0.3">
      <c r="A221" s="249"/>
      <c r="B221" s="241" t="s">
        <v>65</v>
      </c>
      <c r="C221" s="254">
        <v>174326.09999999998</v>
      </c>
      <c r="D221" s="254">
        <v>174326.10000000003</v>
      </c>
      <c r="E221" s="254">
        <v>168096.5</v>
      </c>
    </row>
    <row r="222" spans="1:5" x14ac:dyDescent="0.25">
      <c r="D222" s="231"/>
    </row>
    <row r="223" spans="1:5" x14ac:dyDescent="0.25">
      <c r="D223" s="231"/>
      <c r="E223" s="255" t="s">
        <v>61</v>
      </c>
    </row>
    <row r="224" spans="1:5" ht="18.75" x14ac:dyDescent="0.3">
      <c r="D224" s="231"/>
      <c r="E224" s="32"/>
    </row>
  </sheetData>
  <autoFilter ref="A5:D221" xr:uid="{00000000-0009-0000-0000-000003000000}"/>
  <mergeCells count="7">
    <mergeCell ref="B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6" fitToHeight="0" orientation="portrait" r:id="rId1"/>
  <headerFooter alignWithMargins="0">
    <oddHeader>&amp;C&amp;"Times New Roman,обычный"&amp;12&amp;P</oddHeader>
    <firstFooter>&amp;L&amp;Z&amp;F</firstFooter>
  </headerFooter>
  <rowBreaks count="4" manualBreakCount="4">
    <brk id="40" max="4" man="1"/>
    <brk id="87" max="4" man="1"/>
    <brk id="134" max="4" man="1"/>
    <brk id="17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9"/>
  <sheetViews>
    <sheetView view="pageBreakPreview" zoomScale="60" zoomScaleNormal="100" workbookViewId="0">
      <selection activeCell="I11" sqref="I11"/>
    </sheetView>
  </sheetViews>
  <sheetFormatPr defaultRowHeight="15" x14ac:dyDescent="0.25"/>
  <cols>
    <col min="1" max="1" width="9.140625" style="106"/>
    <col min="2" max="2" width="34.7109375" style="106" customWidth="1"/>
    <col min="3" max="3" width="17.28515625" style="106" customWidth="1"/>
    <col min="4" max="4" width="16.42578125" style="106" customWidth="1"/>
    <col min="5" max="5" width="15.7109375" style="106" customWidth="1"/>
    <col min="6" max="16384" width="9.140625" style="106"/>
  </cols>
  <sheetData>
    <row r="1" spans="1:5" ht="18.75" x14ac:dyDescent="0.25">
      <c r="A1" s="423" t="s">
        <v>405</v>
      </c>
      <c r="B1" s="423"/>
      <c r="C1" s="423"/>
      <c r="D1" s="423"/>
      <c r="E1" s="423"/>
    </row>
    <row r="2" spans="1:5" ht="96.75" customHeight="1" x14ac:dyDescent="0.25">
      <c r="A2" s="425" t="s">
        <v>408</v>
      </c>
      <c r="B2" s="425"/>
      <c r="C2" s="425"/>
      <c r="D2" s="425"/>
      <c r="E2" s="425"/>
    </row>
    <row r="3" spans="1:5" ht="18.75" x14ac:dyDescent="0.3">
      <c r="A3" s="100"/>
      <c r="B3" s="100"/>
      <c r="C3" s="95"/>
      <c r="D3" s="95"/>
      <c r="E3" s="101" t="s">
        <v>366</v>
      </c>
    </row>
    <row r="4" spans="1:5" ht="18.75" x14ac:dyDescent="0.25">
      <c r="A4" s="431" t="s">
        <v>365</v>
      </c>
      <c r="B4" s="431" t="s">
        <v>63</v>
      </c>
      <c r="C4" s="434" t="s">
        <v>71</v>
      </c>
      <c r="D4" s="435"/>
      <c r="E4" s="436"/>
    </row>
    <row r="5" spans="1:5" ht="18.75" x14ac:dyDescent="0.25">
      <c r="A5" s="432"/>
      <c r="B5" s="432"/>
      <c r="C5" s="437" t="s">
        <v>3</v>
      </c>
      <c r="D5" s="439" t="s">
        <v>4</v>
      </c>
      <c r="E5" s="440"/>
    </row>
    <row r="6" spans="1:5" ht="18.75" x14ac:dyDescent="0.25">
      <c r="A6" s="433"/>
      <c r="B6" s="433"/>
      <c r="C6" s="438"/>
      <c r="D6" s="102" t="s">
        <v>5</v>
      </c>
      <c r="E6" s="102" t="s">
        <v>6</v>
      </c>
    </row>
    <row r="7" spans="1:5" ht="18.75" x14ac:dyDescent="0.25">
      <c r="A7" s="96">
        <v>1</v>
      </c>
      <c r="B7" s="96">
        <v>2</v>
      </c>
      <c r="C7" s="96">
        <v>3</v>
      </c>
      <c r="D7" s="96">
        <v>4</v>
      </c>
      <c r="E7" s="96">
        <v>5</v>
      </c>
    </row>
    <row r="8" spans="1:5" ht="18.75" x14ac:dyDescent="0.3">
      <c r="A8" s="97">
        <v>1</v>
      </c>
      <c r="B8" s="98" t="s">
        <v>355</v>
      </c>
      <c r="C8" s="103">
        <v>149104</v>
      </c>
      <c r="D8" s="103">
        <v>117463</v>
      </c>
      <c r="E8" s="103">
        <v>119214</v>
      </c>
    </row>
    <row r="9" spans="1:5" ht="18.75" x14ac:dyDescent="0.3">
      <c r="A9" s="97">
        <v>2</v>
      </c>
      <c r="B9" s="98" t="s">
        <v>356</v>
      </c>
      <c r="C9" s="103">
        <v>71273</v>
      </c>
      <c r="D9" s="103">
        <v>55034</v>
      </c>
      <c r="E9" s="103">
        <v>56980</v>
      </c>
    </row>
    <row r="10" spans="1:5" ht="18.75" x14ac:dyDescent="0.3">
      <c r="A10" s="99"/>
      <c r="B10" s="104" t="s">
        <v>49</v>
      </c>
      <c r="C10" s="105">
        <f>SUM(C8:C9)</f>
        <v>220377</v>
      </c>
      <c r="D10" s="105">
        <f t="shared" ref="D10:E10" si="0">SUM(D8:D9)</f>
        <v>172497</v>
      </c>
      <c r="E10" s="105">
        <f t="shared" si="0"/>
        <v>176194</v>
      </c>
    </row>
    <row r="11" spans="1:5" ht="18.75" x14ac:dyDescent="0.3">
      <c r="A11" s="100"/>
      <c r="B11" s="100"/>
      <c r="C11" s="100"/>
      <c r="D11" s="95"/>
      <c r="E11" s="95"/>
    </row>
    <row r="12" spans="1:5" ht="18.75" x14ac:dyDescent="0.3">
      <c r="A12" s="100"/>
      <c r="B12" s="100"/>
      <c r="C12" s="100"/>
      <c r="D12" s="95"/>
      <c r="E12" s="95"/>
    </row>
    <row r="19" spans="17:17" ht="18.75" x14ac:dyDescent="0.3">
      <c r="Q19" s="224"/>
    </row>
  </sheetData>
  <mergeCells count="7">
    <mergeCell ref="A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9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9"/>
  <sheetViews>
    <sheetView view="pageBreakPreview" zoomScaleNormal="100" zoomScaleSheetLayoutView="100" workbookViewId="0">
      <selection activeCell="I11" sqref="I11"/>
    </sheetView>
  </sheetViews>
  <sheetFormatPr defaultRowHeight="18.75" x14ac:dyDescent="0.3"/>
  <cols>
    <col min="1" max="1" width="7.28515625" style="100" customWidth="1"/>
    <col min="2" max="2" width="61.42578125" style="100" customWidth="1"/>
    <col min="3" max="3" width="20.5703125" style="100" customWidth="1"/>
    <col min="4" max="256" width="9.140625" style="95"/>
    <col min="257" max="257" width="7.28515625" style="95" customWidth="1"/>
    <col min="258" max="258" width="61.42578125" style="95" customWidth="1"/>
    <col min="259" max="259" width="20.5703125" style="95" customWidth="1"/>
    <col min="260" max="512" width="9.140625" style="95"/>
    <col min="513" max="513" width="7.28515625" style="95" customWidth="1"/>
    <col min="514" max="514" width="61.42578125" style="95" customWidth="1"/>
    <col min="515" max="515" width="20.5703125" style="95" customWidth="1"/>
    <col min="516" max="768" width="9.140625" style="95"/>
    <col min="769" max="769" width="7.28515625" style="95" customWidth="1"/>
    <col min="770" max="770" width="61.42578125" style="95" customWidth="1"/>
    <col min="771" max="771" width="20.5703125" style="95" customWidth="1"/>
    <col min="772" max="1024" width="9.140625" style="95"/>
    <col min="1025" max="1025" width="7.28515625" style="95" customWidth="1"/>
    <col min="1026" max="1026" width="61.42578125" style="95" customWidth="1"/>
    <col min="1027" max="1027" width="20.5703125" style="95" customWidth="1"/>
    <col min="1028" max="1280" width="9.140625" style="95"/>
    <col min="1281" max="1281" width="7.28515625" style="95" customWidth="1"/>
    <col min="1282" max="1282" width="61.42578125" style="95" customWidth="1"/>
    <col min="1283" max="1283" width="20.5703125" style="95" customWidth="1"/>
    <col min="1284" max="1536" width="9.140625" style="95"/>
    <col min="1537" max="1537" width="7.28515625" style="95" customWidth="1"/>
    <col min="1538" max="1538" width="61.42578125" style="95" customWidth="1"/>
    <col min="1539" max="1539" width="20.5703125" style="95" customWidth="1"/>
    <col min="1540" max="1792" width="9.140625" style="95"/>
    <col min="1793" max="1793" width="7.28515625" style="95" customWidth="1"/>
    <col min="1794" max="1794" width="61.42578125" style="95" customWidth="1"/>
    <col min="1795" max="1795" width="20.5703125" style="95" customWidth="1"/>
    <col min="1796" max="2048" width="9.140625" style="95"/>
    <col min="2049" max="2049" width="7.28515625" style="95" customWidth="1"/>
    <col min="2050" max="2050" width="61.42578125" style="95" customWidth="1"/>
    <col min="2051" max="2051" width="20.5703125" style="95" customWidth="1"/>
    <col min="2052" max="2304" width="9.140625" style="95"/>
    <col min="2305" max="2305" width="7.28515625" style="95" customWidth="1"/>
    <col min="2306" max="2306" width="61.42578125" style="95" customWidth="1"/>
    <col min="2307" max="2307" width="20.5703125" style="95" customWidth="1"/>
    <col min="2308" max="2560" width="9.140625" style="95"/>
    <col min="2561" max="2561" width="7.28515625" style="95" customWidth="1"/>
    <col min="2562" max="2562" width="61.42578125" style="95" customWidth="1"/>
    <col min="2563" max="2563" width="20.5703125" style="95" customWidth="1"/>
    <col min="2564" max="2816" width="9.140625" style="95"/>
    <col min="2817" max="2817" width="7.28515625" style="95" customWidth="1"/>
    <col min="2818" max="2818" width="61.42578125" style="95" customWidth="1"/>
    <col min="2819" max="2819" width="20.5703125" style="95" customWidth="1"/>
    <col min="2820" max="3072" width="9.140625" style="95"/>
    <col min="3073" max="3073" width="7.28515625" style="95" customWidth="1"/>
    <col min="3074" max="3074" width="61.42578125" style="95" customWidth="1"/>
    <col min="3075" max="3075" width="20.5703125" style="95" customWidth="1"/>
    <col min="3076" max="3328" width="9.140625" style="95"/>
    <col min="3329" max="3329" width="7.28515625" style="95" customWidth="1"/>
    <col min="3330" max="3330" width="61.42578125" style="95" customWidth="1"/>
    <col min="3331" max="3331" width="20.5703125" style="95" customWidth="1"/>
    <col min="3332" max="3584" width="9.140625" style="95"/>
    <col min="3585" max="3585" width="7.28515625" style="95" customWidth="1"/>
    <col min="3586" max="3586" width="61.42578125" style="95" customWidth="1"/>
    <col min="3587" max="3587" width="20.5703125" style="95" customWidth="1"/>
    <col min="3588" max="3840" width="9.140625" style="95"/>
    <col min="3841" max="3841" width="7.28515625" style="95" customWidth="1"/>
    <col min="3842" max="3842" width="61.42578125" style="95" customWidth="1"/>
    <col min="3843" max="3843" width="20.5703125" style="95" customWidth="1"/>
    <col min="3844" max="4096" width="9.140625" style="95"/>
    <col min="4097" max="4097" width="7.28515625" style="95" customWidth="1"/>
    <col min="4098" max="4098" width="61.42578125" style="95" customWidth="1"/>
    <col min="4099" max="4099" width="20.5703125" style="95" customWidth="1"/>
    <col min="4100" max="4352" width="9.140625" style="95"/>
    <col min="4353" max="4353" width="7.28515625" style="95" customWidth="1"/>
    <col min="4354" max="4354" width="61.42578125" style="95" customWidth="1"/>
    <col min="4355" max="4355" width="20.5703125" style="95" customWidth="1"/>
    <col min="4356" max="4608" width="9.140625" style="95"/>
    <col min="4609" max="4609" width="7.28515625" style="95" customWidth="1"/>
    <col min="4610" max="4610" width="61.42578125" style="95" customWidth="1"/>
    <col min="4611" max="4611" width="20.5703125" style="95" customWidth="1"/>
    <col min="4612" max="4864" width="9.140625" style="95"/>
    <col min="4865" max="4865" width="7.28515625" style="95" customWidth="1"/>
    <col min="4866" max="4866" width="61.42578125" style="95" customWidth="1"/>
    <col min="4867" max="4867" width="20.5703125" style="95" customWidth="1"/>
    <col min="4868" max="5120" width="9.140625" style="95"/>
    <col min="5121" max="5121" width="7.28515625" style="95" customWidth="1"/>
    <col min="5122" max="5122" width="61.42578125" style="95" customWidth="1"/>
    <col min="5123" max="5123" width="20.5703125" style="95" customWidth="1"/>
    <col min="5124" max="5376" width="9.140625" style="95"/>
    <col min="5377" max="5377" width="7.28515625" style="95" customWidth="1"/>
    <col min="5378" max="5378" width="61.42578125" style="95" customWidth="1"/>
    <col min="5379" max="5379" width="20.5703125" style="95" customWidth="1"/>
    <col min="5380" max="5632" width="9.140625" style="95"/>
    <col min="5633" max="5633" width="7.28515625" style="95" customWidth="1"/>
    <col min="5634" max="5634" width="61.42578125" style="95" customWidth="1"/>
    <col min="5635" max="5635" width="20.5703125" style="95" customWidth="1"/>
    <col min="5636" max="5888" width="9.140625" style="95"/>
    <col min="5889" max="5889" width="7.28515625" style="95" customWidth="1"/>
    <col min="5890" max="5890" width="61.42578125" style="95" customWidth="1"/>
    <col min="5891" max="5891" width="20.5703125" style="95" customWidth="1"/>
    <col min="5892" max="6144" width="9.140625" style="95"/>
    <col min="6145" max="6145" width="7.28515625" style="95" customWidth="1"/>
    <col min="6146" max="6146" width="61.42578125" style="95" customWidth="1"/>
    <col min="6147" max="6147" width="20.5703125" style="95" customWidth="1"/>
    <col min="6148" max="6400" width="9.140625" style="95"/>
    <col min="6401" max="6401" width="7.28515625" style="95" customWidth="1"/>
    <col min="6402" max="6402" width="61.42578125" style="95" customWidth="1"/>
    <col min="6403" max="6403" width="20.5703125" style="95" customWidth="1"/>
    <col min="6404" max="6656" width="9.140625" style="95"/>
    <col min="6657" max="6657" width="7.28515625" style="95" customWidth="1"/>
    <col min="6658" max="6658" width="61.42578125" style="95" customWidth="1"/>
    <col min="6659" max="6659" width="20.5703125" style="95" customWidth="1"/>
    <col min="6660" max="6912" width="9.140625" style="95"/>
    <col min="6913" max="6913" width="7.28515625" style="95" customWidth="1"/>
    <col min="6914" max="6914" width="61.42578125" style="95" customWidth="1"/>
    <col min="6915" max="6915" width="20.5703125" style="95" customWidth="1"/>
    <col min="6916" max="7168" width="9.140625" style="95"/>
    <col min="7169" max="7169" width="7.28515625" style="95" customWidth="1"/>
    <col min="7170" max="7170" width="61.42578125" style="95" customWidth="1"/>
    <col min="7171" max="7171" width="20.5703125" style="95" customWidth="1"/>
    <col min="7172" max="7424" width="9.140625" style="95"/>
    <col min="7425" max="7425" width="7.28515625" style="95" customWidth="1"/>
    <col min="7426" max="7426" width="61.42578125" style="95" customWidth="1"/>
    <col min="7427" max="7427" width="20.5703125" style="95" customWidth="1"/>
    <col min="7428" max="7680" width="9.140625" style="95"/>
    <col min="7681" max="7681" width="7.28515625" style="95" customWidth="1"/>
    <col min="7682" max="7682" width="61.42578125" style="95" customWidth="1"/>
    <col min="7683" max="7683" width="20.5703125" style="95" customWidth="1"/>
    <col min="7684" max="7936" width="9.140625" style="95"/>
    <col min="7937" max="7937" width="7.28515625" style="95" customWidth="1"/>
    <col min="7938" max="7938" width="61.42578125" style="95" customWidth="1"/>
    <col min="7939" max="7939" width="20.5703125" style="95" customWidth="1"/>
    <col min="7940" max="8192" width="9.140625" style="95"/>
    <col min="8193" max="8193" width="7.28515625" style="95" customWidth="1"/>
    <col min="8194" max="8194" width="61.42578125" style="95" customWidth="1"/>
    <col min="8195" max="8195" width="20.5703125" style="95" customWidth="1"/>
    <col min="8196" max="8448" width="9.140625" style="95"/>
    <col min="8449" max="8449" width="7.28515625" style="95" customWidth="1"/>
    <col min="8450" max="8450" width="61.42578125" style="95" customWidth="1"/>
    <col min="8451" max="8451" width="20.5703125" style="95" customWidth="1"/>
    <col min="8452" max="8704" width="9.140625" style="95"/>
    <col min="8705" max="8705" width="7.28515625" style="95" customWidth="1"/>
    <col min="8706" max="8706" width="61.42578125" style="95" customWidth="1"/>
    <col min="8707" max="8707" width="20.5703125" style="95" customWidth="1"/>
    <col min="8708" max="8960" width="9.140625" style="95"/>
    <col min="8961" max="8961" width="7.28515625" style="95" customWidth="1"/>
    <col min="8962" max="8962" width="61.42578125" style="95" customWidth="1"/>
    <col min="8963" max="8963" width="20.5703125" style="95" customWidth="1"/>
    <col min="8964" max="9216" width="9.140625" style="95"/>
    <col min="9217" max="9217" width="7.28515625" style="95" customWidth="1"/>
    <col min="9218" max="9218" width="61.42578125" style="95" customWidth="1"/>
    <col min="9219" max="9219" width="20.5703125" style="95" customWidth="1"/>
    <col min="9220" max="9472" width="9.140625" style="95"/>
    <col min="9473" max="9473" width="7.28515625" style="95" customWidth="1"/>
    <col min="9474" max="9474" width="61.42578125" style="95" customWidth="1"/>
    <col min="9475" max="9475" width="20.5703125" style="95" customWidth="1"/>
    <col min="9476" max="9728" width="9.140625" style="95"/>
    <col min="9729" max="9729" width="7.28515625" style="95" customWidth="1"/>
    <col min="9730" max="9730" width="61.42578125" style="95" customWidth="1"/>
    <col min="9731" max="9731" width="20.5703125" style="95" customWidth="1"/>
    <col min="9732" max="9984" width="9.140625" style="95"/>
    <col min="9985" max="9985" width="7.28515625" style="95" customWidth="1"/>
    <col min="9986" max="9986" width="61.42578125" style="95" customWidth="1"/>
    <col min="9987" max="9987" width="20.5703125" style="95" customWidth="1"/>
    <col min="9988" max="10240" width="9.140625" style="95"/>
    <col min="10241" max="10241" width="7.28515625" style="95" customWidth="1"/>
    <col min="10242" max="10242" width="61.42578125" style="95" customWidth="1"/>
    <col min="10243" max="10243" width="20.5703125" style="95" customWidth="1"/>
    <col min="10244" max="10496" width="9.140625" style="95"/>
    <col min="10497" max="10497" width="7.28515625" style="95" customWidth="1"/>
    <col min="10498" max="10498" width="61.42578125" style="95" customWidth="1"/>
    <col min="10499" max="10499" width="20.5703125" style="95" customWidth="1"/>
    <col min="10500" max="10752" width="9.140625" style="95"/>
    <col min="10753" max="10753" width="7.28515625" style="95" customWidth="1"/>
    <col min="10754" max="10754" width="61.42578125" style="95" customWidth="1"/>
    <col min="10755" max="10755" width="20.5703125" style="95" customWidth="1"/>
    <col min="10756" max="11008" width="9.140625" style="95"/>
    <col min="11009" max="11009" width="7.28515625" style="95" customWidth="1"/>
    <col min="11010" max="11010" width="61.42578125" style="95" customWidth="1"/>
    <col min="11011" max="11011" width="20.5703125" style="95" customWidth="1"/>
    <col min="11012" max="11264" width="9.140625" style="95"/>
    <col min="11265" max="11265" width="7.28515625" style="95" customWidth="1"/>
    <col min="11266" max="11266" width="61.42578125" style="95" customWidth="1"/>
    <col min="11267" max="11267" width="20.5703125" style="95" customWidth="1"/>
    <col min="11268" max="11520" width="9.140625" style="95"/>
    <col min="11521" max="11521" width="7.28515625" style="95" customWidth="1"/>
    <col min="11522" max="11522" width="61.42578125" style="95" customWidth="1"/>
    <col min="11523" max="11523" width="20.5703125" style="95" customWidth="1"/>
    <col min="11524" max="11776" width="9.140625" style="95"/>
    <col min="11777" max="11777" width="7.28515625" style="95" customWidth="1"/>
    <col min="11778" max="11778" width="61.42578125" style="95" customWidth="1"/>
    <col min="11779" max="11779" width="20.5703125" style="95" customWidth="1"/>
    <col min="11780" max="12032" width="9.140625" style="95"/>
    <col min="12033" max="12033" width="7.28515625" style="95" customWidth="1"/>
    <col min="12034" max="12034" width="61.42578125" style="95" customWidth="1"/>
    <col min="12035" max="12035" width="20.5703125" style="95" customWidth="1"/>
    <col min="12036" max="12288" width="9.140625" style="95"/>
    <col min="12289" max="12289" width="7.28515625" style="95" customWidth="1"/>
    <col min="12290" max="12290" width="61.42578125" style="95" customWidth="1"/>
    <col min="12291" max="12291" width="20.5703125" style="95" customWidth="1"/>
    <col min="12292" max="12544" width="9.140625" style="95"/>
    <col min="12545" max="12545" width="7.28515625" style="95" customWidth="1"/>
    <col min="12546" max="12546" width="61.42578125" style="95" customWidth="1"/>
    <col min="12547" max="12547" width="20.5703125" style="95" customWidth="1"/>
    <col min="12548" max="12800" width="9.140625" style="95"/>
    <col min="12801" max="12801" width="7.28515625" style="95" customWidth="1"/>
    <col min="12802" max="12802" width="61.42578125" style="95" customWidth="1"/>
    <col min="12803" max="12803" width="20.5703125" style="95" customWidth="1"/>
    <col min="12804" max="13056" width="9.140625" style="95"/>
    <col min="13057" max="13057" width="7.28515625" style="95" customWidth="1"/>
    <col min="13058" max="13058" width="61.42578125" style="95" customWidth="1"/>
    <col min="13059" max="13059" width="20.5703125" style="95" customWidth="1"/>
    <col min="13060" max="13312" width="9.140625" style="95"/>
    <col min="13313" max="13313" width="7.28515625" style="95" customWidth="1"/>
    <col min="13314" max="13314" width="61.42578125" style="95" customWidth="1"/>
    <col min="13315" max="13315" width="20.5703125" style="95" customWidth="1"/>
    <col min="13316" max="13568" width="9.140625" style="95"/>
    <col min="13569" max="13569" width="7.28515625" style="95" customWidth="1"/>
    <col min="13570" max="13570" width="61.42578125" style="95" customWidth="1"/>
    <col min="13571" max="13571" width="20.5703125" style="95" customWidth="1"/>
    <col min="13572" max="13824" width="9.140625" style="95"/>
    <col min="13825" max="13825" width="7.28515625" style="95" customWidth="1"/>
    <col min="13826" max="13826" width="61.42578125" style="95" customWidth="1"/>
    <col min="13827" max="13827" width="20.5703125" style="95" customWidth="1"/>
    <col min="13828" max="14080" width="9.140625" style="95"/>
    <col min="14081" max="14081" width="7.28515625" style="95" customWidth="1"/>
    <col min="14082" max="14082" width="61.42578125" style="95" customWidth="1"/>
    <col min="14083" max="14083" width="20.5703125" style="95" customWidth="1"/>
    <col min="14084" max="14336" width="9.140625" style="95"/>
    <col min="14337" max="14337" width="7.28515625" style="95" customWidth="1"/>
    <col min="14338" max="14338" width="61.42578125" style="95" customWidth="1"/>
    <col min="14339" max="14339" width="20.5703125" style="95" customWidth="1"/>
    <col min="14340" max="14592" width="9.140625" style="95"/>
    <col min="14593" max="14593" width="7.28515625" style="95" customWidth="1"/>
    <col min="14594" max="14594" width="61.42578125" style="95" customWidth="1"/>
    <col min="14595" max="14595" width="20.5703125" style="95" customWidth="1"/>
    <col min="14596" max="14848" width="9.140625" style="95"/>
    <col min="14849" max="14849" width="7.28515625" style="95" customWidth="1"/>
    <col min="14850" max="14850" width="61.42578125" style="95" customWidth="1"/>
    <col min="14851" max="14851" width="20.5703125" style="95" customWidth="1"/>
    <col min="14852" max="15104" width="9.140625" style="95"/>
    <col min="15105" max="15105" width="7.28515625" style="95" customWidth="1"/>
    <col min="15106" max="15106" width="61.42578125" style="95" customWidth="1"/>
    <col min="15107" max="15107" width="20.5703125" style="95" customWidth="1"/>
    <col min="15108" max="15360" width="9.140625" style="95"/>
    <col min="15361" max="15361" width="7.28515625" style="95" customWidth="1"/>
    <col min="15362" max="15362" width="61.42578125" style="95" customWidth="1"/>
    <col min="15363" max="15363" width="20.5703125" style="95" customWidth="1"/>
    <col min="15364" max="15616" width="9.140625" style="95"/>
    <col min="15617" max="15617" width="7.28515625" style="95" customWidth="1"/>
    <col min="15618" max="15618" width="61.42578125" style="95" customWidth="1"/>
    <col min="15619" max="15619" width="20.5703125" style="95" customWidth="1"/>
    <col min="15620" max="15872" width="9.140625" style="95"/>
    <col min="15873" max="15873" width="7.28515625" style="95" customWidth="1"/>
    <col min="15874" max="15874" width="61.42578125" style="95" customWidth="1"/>
    <col min="15875" max="15875" width="20.5703125" style="95" customWidth="1"/>
    <col min="15876" max="16128" width="9.140625" style="95"/>
    <col min="16129" max="16129" width="7.28515625" style="95" customWidth="1"/>
    <col min="16130" max="16130" width="61.42578125" style="95" customWidth="1"/>
    <col min="16131" max="16131" width="20.5703125" style="95" customWidth="1"/>
    <col min="16132" max="16384" width="9.140625" style="95"/>
  </cols>
  <sheetData>
    <row r="1" spans="1:3" ht="22.5" customHeight="1" x14ac:dyDescent="0.25">
      <c r="A1" s="423" t="s">
        <v>354</v>
      </c>
      <c r="B1" s="423"/>
      <c r="C1" s="423"/>
    </row>
    <row r="2" spans="1:3" ht="56.25" customHeight="1" x14ac:dyDescent="0.25">
      <c r="A2" s="425" t="s">
        <v>367</v>
      </c>
      <c r="B2" s="425"/>
      <c r="C2" s="425"/>
    </row>
    <row r="3" spans="1:3" x14ac:dyDescent="0.3">
      <c r="C3" s="101" t="s">
        <v>366</v>
      </c>
    </row>
    <row r="4" spans="1:3" s="247" customFormat="1" ht="15" customHeight="1" x14ac:dyDescent="0.25">
      <c r="A4" s="426" t="s">
        <v>365</v>
      </c>
      <c r="B4" s="426" t="s">
        <v>63</v>
      </c>
      <c r="C4" s="427" t="s">
        <v>364</v>
      </c>
    </row>
    <row r="5" spans="1:3" s="247" customFormat="1" ht="24.75" customHeight="1" x14ac:dyDescent="0.25">
      <c r="A5" s="431"/>
      <c r="B5" s="431"/>
      <c r="C5" s="427"/>
    </row>
    <row r="6" spans="1:3" s="247" customFormat="1" x14ac:dyDescent="0.25">
      <c r="A6" s="96">
        <v>1</v>
      </c>
      <c r="B6" s="96">
        <v>2</v>
      </c>
      <c r="C6" s="256">
        <v>3</v>
      </c>
    </row>
    <row r="7" spans="1:3" x14ac:dyDescent="0.3">
      <c r="A7" s="97">
        <v>1</v>
      </c>
      <c r="B7" s="257" t="s">
        <v>7</v>
      </c>
      <c r="C7" s="103">
        <v>4721</v>
      </c>
    </row>
    <row r="8" spans="1:3" x14ac:dyDescent="0.3">
      <c r="A8" s="97">
        <v>2</v>
      </c>
      <c r="B8" s="257" t="s">
        <v>8</v>
      </c>
      <c r="C8" s="103">
        <v>5281</v>
      </c>
    </row>
    <row r="9" spans="1:3" x14ac:dyDescent="0.3">
      <c r="A9" s="97">
        <v>3</v>
      </c>
      <c r="B9" s="257" t="s">
        <v>9</v>
      </c>
      <c r="C9" s="103">
        <v>0</v>
      </c>
    </row>
    <row r="10" spans="1:3" x14ac:dyDescent="0.3">
      <c r="A10" s="97">
        <v>4</v>
      </c>
      <c r="B10" s="257" t="s">
        <v>10</v>
      </c>
      <c r="C10" s="103">
        <v>4833</v>
      </c>
    </row>
    <row r="11" spans="1:3" x14ac:dyDescent="0.3">
      <c r="A11" s="97">
        <v>5</v>
      </c>
      <c r="B11" s="258" t="s">
        <v>11</v>
      </c>
      <c r="C11" s="103">
        <v>5035</v>
      </c>
    </row>
    <row r="12" spans="1:3" x14ac:dyDescent="0.3">
      <c r="A12" s="97">
        <v>6</v>
      </c>
      <c r="B12" s="258" t="s">
        <v>12</v>
      </c>
      <c r="C12" s="103">
        <v>3132</v>
      </c>
    </row>
    <row r="13" spans="1:3" x14ac:dyDescent="0.3">
      <c r="A13" s="97">
        <v>7</v>
      </c>
      <c r="B13" s="258" t="s">
        <v>13</v>
      </c>
      <c r="C13" s="103">
        <v>1617</v>
      </c>
    </row>
    <row r="14" spans="1:3" x14ac:dyDescent="0.3">
      <c r="A14" s="97">
        <v>8</v>
      </c>
      <c r="B14" s="258" t="s">
        <v>14</v>
      </c>
      <c r="C14" s="103">
        <v>15473</v>
      </c>
    </row>
    <row r="15" spans="1:3" x14ac:dyDescent="0.3">
      <c r="A15" s="97">
        <v>9</v>
      </c>
      <c r="B15" s="258" t="s">
        <v>15</v>
      </c>
      <c r="C15" s="103">
        <v>50116</v>
      </c>
    </row>
    <row r="16" spans="1:3" x14ac:dyDescent="0.3">
      <c r="A16" s="97">
        <v>10</v>
      </c>
      <c r="B16" s="259" t="s">
        <v>16</v>
      </c>
      <c r="C16" s="103">
        <v>0</v>
      </c>
    </row>
    <row r="17" spans="1:17" x14ac:dyDescent="0.3">
      <c r="A17" s="97">
        <v>11</v>
      </c>
      <c r="B17" s="259" t="s">
        <v>17</v>
      </c>
      <c r="C17" s="103">
        <v>0</v>
      </c>
    </row>
    <row r="18" spans="1:17" x14ac:dyDescent="0.3">
      <c r="A18" s="97">
        <v>12</v>
      </c>
      <c r="B18" s="258" t="s">
        <v>18</v>
      </c>
      <c r="C18" s="103">
        <v>0</v>
      </c>
    </row>
    <row r="19" spans="1:17" x14ac:dyDescent="0.3">
      <c r="A19" s="97">
        <v>13</v>
      </c>
      <c r="B19" s="258" t="s">
        <v>19</v>
      </c>
      <c r="C19" s="103">
        <v>0</v>
      </c>
      <c r="Q19" s="100"/>
    </row>
    <row r="20" spans="1:17" x14ac:dyDescent="0.3">
      <c r="A20" s="97">
        <v>14</v>
      </c>
      <c r="B20" s="258" t="s">
        <v>20</v>
      </c>
      <c r="C20" s="103">
        <v>0</v>
      </c>
    </row>
    <row r="21" spans="1:17" x14ac:dyDescent="0.3">
      <c r="A21" s="97">
        <v>15</v>
      </c>
      <c r="B21" s="258" t="s">
        <v>21</v>
      </c>
      <c r="C21" s="103">
        <v>0</v>
      </c>
    </row>
    <row r="22" spans="1:17" x14ac:dyDescent="0.3">
      <c r="A22" s="97">
        <v>16</v>
      </c>
      <c r="B22" s="258" t="s">
        <v>22</v>
      </c>
      <c r="C22" s="103">
        <v>6642</v>
      </c>
    </row>
    <row r="23" spans="1:17" x14ac:dyDescent="0.3">
      <c r="A23" s="97">
        <v>17</v>
      </c>
      <c r="B23" s="258" t="s">
        <v>23</v>
      </c>
      <c r="C23" s="103">
        <v>0</v>
      </c>
    </row>
    <row r="24" spans="1:17" x14ac:dyDescent="0.3">
      <c r="A24" s="97">
        <v>18</v>
      </c>
      <c r="B24" s="258" t="s">
        <v>24</v>
      </c>
      <c r="C24" s="103">
        <v>13421</v>
      </c>
    </row>
    <row r="25" spans="1:17" x14ac:dyDescent="0.3">
      <c r="A25" s="97">
        <v>19</v>
      </c>
      <c r="B25" s="258" t="s">
        <v>25</v>
      </c>
      <c r="C25" s="103">
        <v>0</v>
      </c>
    </row>
    <row r="26" spans="1:17" x14ac:dyDescent="0.3">
      <c r="A26" s="97">
        <v>20</v>
      </c>
      <c r="B26" s="258" t="s">
        <v>26</v>
      </c>
      <c r="C26" s="103">
        <v>1203</v>
      </c>
    </row>
    <row r="27" spans="1:17" x14ac:dyDescent="0.3">
      <c r="A27" s="97">
        <v>21</v>
      </c>
      <c r="B27" s="258" t="s">
        <v>27</v>
      </c>
      <c r="C27" s="103">
        <v>0</v>
      </c>
    </row>
    <row r="28" spans="1:17" x14ac:dyDescent="0.3">
      <c r="A28" s="97">
        <v>22</v>
      </c>
      <c r="B28" s="258" t="s">
        <v>28</v>
      </c>
      <c r="C28" s="103">
        <v>8823</v>
      </c>
    </row>
    <row r="29" spans="1:17" x14ac:dyDescent="0.3">
      <c r="A29" s="97">
        <v>23</v>
      </c>
      <c r="B29" s="258" t="s">
        <v>29</v>
      </c>
      <c r="C29" s="103">
        <v>0</v>
      </c>
    </row>
    <row r="30" spans="1:17" x14ac:dyDescent="0.3">
      <c r="A30" s="97">
        <v>24</v>
      </c>
      <c r="B30" s="258" t="s">
        <v>30</v>
      </c>
      <c r="C30" s="103">
        <v>0</v>
      </c>
    </row>
    <row r="31" spans="1:17" x14ac:dyDescent="0.3">
      <c r="A31" s="97">
        <v>25</v>
      </c>
      <c r="B31" s="258" t="s">
        <v>31</v>
      </c>
      <c r="C31" s="103">
        <v>0</v>
      </c>
    </row>
    <row r="32" spans="1:17" x14ac:dyDescent="0.3">
      <c r="A32" s="97">
        <v>26</v>
      </c>
      <c r="B32" s="258" t="s">
        <v>32</v>
      </c>
      <c r="C32" s="103">
        <v>0</v>
      </c>
    </row>
    <row r="33" spans="1:3" x14ac:dyDescent="0.3">
      <c r="A33" s="97">
        <v>27</v>
      </c>
      <c r="B33" s="258" t="s">
        <v>33</v>
      </c>
      <c r="C33" s="103">
        <v>180</v>
      </c>
    </row>
    <row r="34" spans="1:3" x14ac:dyDescent="0.3">
      <c r="A34" s="97">
        <v>28</v>
      </c>
      <c r="B34" s="258" t="s">
        <v>34</v>
      </c>
      <c r="C34" s="103">
        <v>6593</v>
      </c>
    </row>
    <row r="35" spans="1:3" x14ac:dyDescent="0.3">
      <c r="A35" s="97">
        <v>29</v>
      </c>
      <c r="B35" s="258" t="s">
        <v>35</v>
      </c>
      <c r="C35" s="103">
        <v>0</v>
      </c>
    </row>
    <row r="36" spans="1:3" x14ac:dyDescent="0.3">
      <c r="A36" s="97">
        <v>30</v>
      </c>
      <c r="B36" s="258" t="s">
        <v>36</v>
      </c>
      <c r="C36" s="103">
        <v>0</v>
      </c>
    </row>
    <row r="37" spans="1:3" x14ac:dyDescent="0.3">
      <c r="A37" s="97">
        <v>31</v>
      </c>
      <c r="B37" s="258" t="s">
        <v>37</v>
      </c>
      <c r="C37" s="103">
        <v>570</v>
      </c>
    </row>
    <row r="38" spans="1:3" x14ac:dyDescent="0.3">
      <c r="A38" s="97">
        <v>32</v>
      </c>
      <c r="B38" s="258" t="s">
        <v>38</v>
      </c>
      <c r="C38" s="103">
        <v>6226</v>
      </c>
    </row>
    <row r="39" spans="1:3" x14ac:dyDescent="0.3">
      <c r="A39" s="97">
        <v>33</v>
      </c>
      <c r="B39" s="258" t="s">
        <v>39</v>
      </c>
      <c r="C39" s="103">
        <v>0</v>
      </c>
    </row>
    <row r="40" spans="1:3" x14ac:dyDescent="0.3">
      <c r="A40" s="97">
        <v>34</v>
      </c>
      <c r="B40" s="258" t="s">
        <v>40</v>
      </c>
      <c r="C40" s="103">
        <v>1360</v>
      </c>
    </row>
    <row r="41" spans="1:3" x14ac:dyDescent="0.3">
      <c r="A41" s="97">
        <v>35</v>
      </c>
      <c r="B41" s="258" t="s">
        <v>41</v>
      </c>
      <c r="C41" s="103">
        <v>1205</v>
      </c>
    </row>
    <row r="42" spans="1:3" x14ac:dyDescent="0.3">
      <c r="A42" s="97">
        <v>36</v>
      </c>
      <c r="B42" s="258" t="s">
        <v>42</v>
      </c>
      <c r="C42" s="103">
        <v>0</v>
      </c>
    </row>
    <row r="43" spans="1:3" x14ac:dyDescent="0.3">
      <c r="A43" s="97">
        <v>37</v>
      </c>
      <c r="B43" s="258" t="s">
        <v>43</v>
      </c>
      <c r="C43" s="103">
        <v>0</v>
      </c>
    </row>
    <row r="44" spans="1:3" x14ac:dyDescent="0.3">
      <c r="A44" s="97">
        <v>38</v>
      </c>
      <c r="B44" s="258" t="s">
        <v>44</v>
      </c>
      <c r="C44" s="103">
        <v>2698</v>
      </c>
    </row>
    <row r="45" spans="1:3" x14ac:dyDescent="0.3">
      <c r="A45" s="97">
        <v>39</v>
      </c>
      <c r="B45" s="258" t="s">
        <v>45</v>
      </c>
      <c r="C45" s="103">
        <v>96</v>
      </c>
    </row>
    <row r="46" spans="1:3" x14ac:dyDescent="0.3">
      <c r="A46" s="97">
        <v>40</v>
      </c>
      <c r="B46" s="258" t="s">
        <v>46</v>
      </c>
      <c r="C46" s="103">
        <v>3158</v>
      </c>
    </row>
    <row r="47" spans="1:3" x14ac:dyDescent="0.3">
      <c r="A47" s="97">
        <v>41</v>
      </c>
      <c r="B47" s="98" t="s">
        <v>355</v>
      </c>
      <c r="C47" s="103">
        <v>0</v>
      </c>
    </row>
    <row r="48" spans="1:3" x14ac:dyDescent="0.3">
      <c r="A48" s="97">
        <v>42</v>
      </c>
      <c r="B48" s="98" t="s">
        <v>356</v>
      </c>
      <c r="C48" s="103">
        <v>0</v>
      </c>
    </row>
    <row r="49" spans="1:3" x14ac:dyDescent="0.3">
      <c r="A49" s="99"/>
      <c r="B49" s="104" t="s">
        <v>49</v>
      </c>
      <c r="C49" s="105">
        <f>SUM(C7:C48)</f>
        <v>142383</v>
      </c>
    </row>
  </sheetData>
  <mergeCells count="5">
    <mergeCell ref="A1:C1"/>
    <mergeCell ref="A2:C2"/>
    <mergeCell ref="A4:A5"/>
    <mergeCell ref="B4:B5"/>
    <mergeCell ref="C4:C5"/>
  </mergeCells>
  <printOptions horizontalCentered="1"/>
  <pageMargins left="0.59055118110236227" right="0.39370078740157483" top="0.39370078740157483" bottom="0.39370078740157483" header="0" footer="0"/>
  <pageSetup paperSize="9" scale="82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8"/>
  <sheetViews>
    <sheetView view="pageBreakPreview" zoomScaleNormal="100" zoomScaleSheetLayoutView="100" workbookViewId="0">
      <selection activeCell="I12" sqref="I12"/>
    </sheetView>
  </sheetViews>
  <sheetFormatPr defaultRowHeight="18" x14ac:dyDescent="0.25"/>
  <cols>
    <col min="1" max="1" width="9" style="61" customWidth="1"/>
    <col min="2" max="2" width="53.85546875" style="61" customWidth="1"/>
    <col min="3" max="5" width="13.7109375" style="61" customWidth="1"/>
    <col min="6" max="256" width="9.140625" style="61"/>
    <col min="257" max="257" width="9" style="61" customWidth="1"/>
    <col min="258" max="258" width="45" style="61" customWidth="1"/>
    <col min="259" max="261" width="13.7109375" style="61" customWidth="1"/>
    <col min="262" max="512" width="9.140625" style="61"/>
    <col min="513" max="513" width="9" style="61" customWidth="1"/>
    <col min="514" max="514" width="45" style="61" customWidth="1"/>
    <col min="515" max="517" width="13.7109375" style="61" customWidth="1"/>
    <col min="518" max="768" width="9.140625" style="61"/>
    <col min="769" max="769" width="9" style="61" customWidth="1"/>
    <col min="770" max="770" width="45" style="61" customWidth="1"/>
    <col min="771" max="773" width="13.7109375" style="61" customWidth="1"/>
    <col min="774" max="1024" width="9.140625" style="61"/>
    <col min="1025" max="1025" width="9" style="61" customWidth="1"/>
    <col min="1026" max="1026" width="45" style="61" customWidth="1"/>
    <col min="1027" max="1029" width="13.7109375" style="61" customWidth="1"/>
    <col min="1030" max="1280" width="9.140625" style="61"/>
    <col min="1281" max="1281" width="9" style="61" customWidth="1"/>
    <col min="1282" max="1282" width="45" style="61" customWidth="1"/>
    <col min="1283" max="1285" width="13.7109375" style="61" customWidth="1"/>
    <col min="1286" max="1536" width="9.140625" style="61"/>
    <col min="1537" max="1537" width="9" style="61" customWidth="1"/>
    <col min="1538" max="1538" width="45" style="61" customWidth="1"/>
    <col min="1539" max="1541" width="13.7109375" style="61" customWidth="1"/>
    <col min="1542" max="1792" width="9.140625" style="61"/>
    <col min="1793" max="1793" width="9" style="61" customWidth="1"/>
    <col min="1794" max="1794" width="45" style="61" customWidth="1"/>
    <col min="1795" max="1797" width="13.7109375" style="61" customWidth="1"/>
    <col min="1798" max="2048" width="9.140625" style="61"/>
    <col min="2049" max="2049" width="9" style="61" customWidth="1"/>
    <col min="2050" max="2050" width="45" style="61" customWidth="1"/>
    <col min="2051" max="2053" width="13.7109375" style="61" customWidth="1"/>
    <col min="2054" max="2304" width="9.140625" style="61"/>
    <col min="2305" max="2305" width="9" style="61" customWidth="1"/>
    <col min="2306" max="2306" width="45" style="61" customWidth="1"/>
    <col min="2307" max="2309" width="13.7109375" style="61" customWidth="1"/>
    <col min="2310" max="2560" width="9.140625" style="61"/>
    <col min="2561" max="2561" width="9" style="61" customWidth="1"/>
    <col min="2562" max="2562" width="45" style="61" customWidth="1"/>
    <col min="2563" max="2565" width="13.7109375" style="61" customWidth="1"/>
    <col min="2566" max="2816" width="9.140625" style="61"/>
    <col min="2817" max="2817" width="9" style="61" customWidth="1"/>
    <col min="2818" max="2818" width="45" style="61" customWidth="1"/>
    <col min="2819" max="2821" width="13.7109375" style="61" customWidth="1"/>
    <col min="2822" max="3072" width="9.140625" style="61"/>
    <col min="3073" max="3073" width="9" style="61" customWidth="1"/>
    <col min="3074" max="3074" width="45" style="61" customWidth="1"/>
    <col min="3075" max="3077" width="13.7109375" style="61" customWidth="1"/>
    <col min="3078" max="3328" width="9.140625" style="61"/>
    <col min="3329" max="3329" width="9" style="61" customWidth="1"/>
    <col min="3330" max="3330" width="45" style="61" customWidth="1"/>
    <col min="3331" max="3333" width="13.7109375" style="61" customWidth="1"/>
    <col min="3334" max="3584" width="9.140625" style="61"/>
    <col min="3585" max="3585" width="9" style="61" customWidth="1"/>
    <col min="3586" max="3586" width="45" style="61" customWidth="1"/>
    <col min="3587" max="3589" width="13.7109375" style="61" customWidth="1"/>
    <col min="3590" max="3840" width="9.140625" style="61"/>
    <col min="3841" max="3841" width="9" style="61" customWidth="1"/>
    <col min="3842" max="3842" width="45" style="61" customWidth="1"/>
    <col min="3843" max="3845" width="13.7109375" style="61" customWidth="1"/>
    <col min="3846" max="4096" width="9.140625" style="61"/>
    <col min="4097" max="4097" width="9" style="61" customWidth="1"/>
    <col min="4098" max="4098" width="45" style="61" customWidth="1"/>
    <col min="4099" max="4101" width="13.7109375" style="61" customWidth="1"/>
    <col min="4102" max="4352" width="9.140625" style="61"/>
    <col min="4353" max="4353" width="9" style="61" customWidth="1"/>
    <col min="4354" max="4354" width="45" style="61" customWidth="1"/>
    <col min="4355" max="4357" width="13.7109375" style="61" customWidth="1"/>
    <col min="4358" max="4608" width="9.140625" style="61"/>
    <col min="4609" max="4609" width="9" style="61" customWidth="1"/>
    <col min="4610" max="4610" width="45" style="61" customWidth="1"/>
    <col min="4611" max="4613" width="13.7109375" style="61" customWidth="1"/>
    <col min="4614" max="4864" width="9.140625" style="61"/>
    <col min="4865" max="4865" width="9" style="61" customWidth="1"/>
    <col min="4866" max="4866" width="45" style="61" customWidth="1"/>
    <col min="4867" max="4869" width="13.7109375" style="61" customWidth="1"/>
    <col min="4870" max="5120" width="9.140625" style="61"/>
    <col min="5121" max="5121" width="9" style="61" customWidth="1"/>
    <col min="5122" max="5122" width="45" style="61" customWidth="1"/>
    <col min="5123" max="5125" width="13.7109375" style="61" customWidth="1"/>
    <col min="5126" max="5376" width="9.140625" style="61"/>
    <col min="5377" max="5377" width="9" style="61" customWidth="1"/>
    <col min="5378" max="5378" width="45" style="61" customWidth="1"/>
    <col min="5379" max="5381" width="13.7109375" style="61" customWidth="1"/>
    <col min="5382" max="5632" width="9.140625" style="61"/>
    <col min="5633" max="5633" width="9" style="61" customWidth="1"/>
    <col min="5634" max="5634" width="45" style="61" customWidth="1"/>
    <col min="5635" max="5637" width="13.7109375" style="61" customWidth="1"/>
    <col min="5638" max="5888" width="9.140625" style="61"/>
    <col min="5889" max="5889" width="9" style="61" customWidth="1"/>
    <col min="5890" max="5890" width="45" style="61" customWidth="1"/>
    <col min="5891" max="5893" width="13.7109375" style="61" customWidth="1"/>
    <col min="5894" max="6144" width="9.140625" style="61"/>
    <col min="6145" max="6145" width="9" style="61" customWidth="1"/>
    <col min="6146" max="6146" width="45" style="61" customWidth="1"/>
    <col min="6147" max="6149" width="13.7109375" style="61" customWidth="1"/>
    <col min="6150" max="6400" width="9.140625" style="61"/>
    <col min="6401" max="6401" width="9" style="61" customWidth="1"/>
    <col min="6402" max="6402" width="45" style="61" customWidth="1"/>
    <col min="6403" max="6405" width="13.7109375" style="61" customWidth="1"/>
    <col min="6406" max="6656" width="9.140625" style="61"/>
    <col min="6657" max="6657" width="9" style="61" customWidth="1"/>
    <col min="6658" max="6658" width="45" style="61" customWidth="1"/>
    <col min="6659" max="6661" width="13.7109375" style="61" customWidth="1"/>
    <col min="6662" max="6912" width="9.140625" style="61"/>
    <col min="6913" max="6913" width="9" style="61" customWidth="1"/>
    <col min="6914" max="6914" width="45" style="61" customWidth="1"/>
    <col min="6915" max="6917" width="13.7109375" style="61" customWidth="1"/>
    <col min="6918" max="7168" width="9.140625" style="61"/>
    <col min="7169" max="7169" width="9" style="61" customWidth="1"/>
    <col min="7170" max="7170" width="45" style="61" customWidth="1"/>
    <col min="7171" max="7173" width="13.7109375" style="61" customWidth="1"/>
    <col min="7174" max="7424" width="9.140625" style="61"/>
    <col min="7425" max="7425" width="9" style="61" customWidth="1"/>
    <col min="7426" max="7426" width="45" style="61" customWidth="1"/>
    <col min="7427" max="7429" width="13.7109375" style="61" customWidth="1"/>
    <col min="7430" max="7680" width="9.140625" style="61"/>
    <col min="7681" max="7681" width="9" style="61" customWidth="1"/>
    <col min="7682" max="7682" width="45" style="61" customWidth="1"/>
    <col min="7683" max="7685" width="13.7109375" style="61" customWidth="1"/>
    <col min="7686" max="7936" width="9.140625" style="61"/>
    <col min="7937" max="7937" width="9" style="61" customWidth="1"/>
    <col min="7938" max="7938" width="45" style="61" customWidth="1"/>
    <col min="7939" max="7941" width="13.7109375" style="61" customWidth="1"/>
    <col min="7942" max="8192" width="9.140625" style="61"/>
    <col min="8193" max="8193" width="9" style="61" customWidth="1"/>
    <col min="8194" max="8194" width="45" style="61" customWidth="1"/>
    <col min="8195" max="8197" width="13.7109375" style="61" customWidth="1"/>
    <col min="8198" max="8448" width="9.140625" style="61"/>
    <col min="8449" max="8449" width="9" style="61" customWidth="1"/>
    <col min="8450" max="8450" width="45" style="61" customWidth="1"/>
    <col min="8451" max="8453" width="13.7109375" style="61" customWidth="1"/>
    <col min="8454" max="8704" width="9.140625" style="61"/>
    <col min="8705" max="8705" width="9" style="61" customWidth="1"/>
    <col min="8706" max="8706" width="45" style="61" customWidth="1"/>
    <col min="8707" max="8709" width="13.7109375" style="61" customWidth="1"/>
    <col min="8710" max="8960" width="9.140625" style="61"/>
    <col min="8961" max="8961" width="9" style="61" customWidth="1"/>
    <col min="8962" max="8962" width="45" style="61" customWidth="1"/>
    <col min="8963" max="8965" width="13.7109375" style="61" customWidth="1"/>
    <col min="8966" max="9216" width="9.140625" style="61"/>
    <col min="9217" max="9217" width="9" style="61" customWidth="1"/>
    <col min="9218" max="9218" width="45" style="61" customWidth="1"/>
    <col min="9219" max="9221" width="13.7109375" style="61" customWidth="1"/>
    <col min="9222" max="9472" width="9.140625" style="61"/>
    <col min="9473" max="9473" width="9" style="61" customWidth="1"/>
    <col min="9474" max="9474" width="45" style="61" customWidth="1"/>
    <col min="9475" max="9477" width="13.7109375" style="61" customWidth="1"/>
    <col min="9478" max="9728" width="9.140625" style="61"/>
    <col min="9729" max="9729" width="9" style="61" customWidth="1"/>
    <col min="9730" max="9730" width="45" style="61" customWidth="1"/>
    <col min="9731" max="9733" width="13.7109375" style="61" customWidth="1"/>
    <col min="9734" max="9984" width="9.140625" style="61"/>
    <col min="9985" max="9985" width="9" style="61" customWidth="1"/>
    <col min="9986" max="9986" width="45" style="61" customWidth="1"/>
    <col min="9987" max="9989" width="13.7109375" style="61" customWidth="1"/>
    <col min="9990" max="10240" width="9.140625" style="61"/>
    <col min="10241" max="10241" width="9" style="61" customWidth="1"/>
    <col min="10242" max="10242" width="45" style="61" customWidth="1"/>
    <col min="10243" max="10245" width="13.7109375" style="61" customWidth="1"/>
    <col min="10246" max="10496" width="9.140625" style="61"/>
    <col min="10497" max="10497" width="9" style="61" customWidth="1"/>
    <col min="10498" max="10498" width="45" style="61" customWidth="1"/>
    <col min="10499" max="10501" width="13.7109375" style="61" customWidth="1"/>
    <col min="10502" max="10752" width="9.140625" style="61"/>
    <col min="10753" max="10753" width="9" style="61" customWidth="1"/>
    <col min="10754" max="10754" width="45" style="61" customWidth="1"/>
    <col min="10755" max="10757" width="13.7109375" style="61" customWidth="1"/>
    <col min="10758" max="11008" width="9.140625" style="61"/>
    <col min="11009" max="11009" width="9" style="61" customWidth="1"/>
    <col min="11010" max="11010" width="45" style="61" customWidth="1"/>
    <col min="11011" max="11013" width="13.7109375" style="61" customWidth="1"/>
    <col min="11014" max="11264" width="9.140625" style="61"/>
    <col min="11265" max="11265" width="9" style="61" customWidth="1"/>
    <col min="11266" max="11266" width="45" style="61" customWidth="1"/>
    <col min="11267" max="11269" width="13.7109375" style="61" customWidth="1"/>
    <col min="11270" max="11520" width="9.140625" style="61"/>
    <col min="11521" max="11521" width="9" style="61" customWidth="1"/>
    <col min="11522" max="11522" width="45" style="61" customWidth="1"/>
    <col min="11523" max="11525" width="13.7109375" style="61" customWidth="1"/>
    <col min="11526" max="11776" width="9.140625" style="61"/>
    <col min="11777" max="11777" width="9" style="61" customWidth="1"/>
    <col min="11778" max="11778" width="45" style="61" customWidth="1"/>
    <col min="11779" max="11781" width="13.7109375" style="61" customWidth="1"/>
    <col min="11782" max="12032" width="9.140625" style="61"/>
    <col min="12033" max="12033" width="9" style="61" customWidth="1"/>
    <col min="12034" max="12034" width="45" style="61" customWidth="1"/>
    <col min="12035" max="12037" width="13.7109375" style="61" customWidth="1"/>
    <col min="12038" max="12288" width="9.140625" style="61"/>
    <col min="12289" max="12289" width="9" style="61" customWidth="1"/>
    <col min="12290" max="12290" width="45" style="61" customWidth="1"/>
    <col min="12291" max="12293" width="13.7109375" style="61" customWidth="1"/>
    <col min="12294" max="12544" width="9.140625" style="61"/>
    <col min="12545" max="12545" width="9" style="61" customWidth="1"/>
    <col min="12546" max="12546" width="45" style="61" customWidth="1"/>
    <col min="12547" max="12549" width="13.7109375" style="61" customWidth="1"/>
    <col min="12550" max="12800" width="9.140625" style="61"/>
    <col min="12801" max="12801" width="9" style="61" customWidth="1"/>
    <col min="12802" max="12802" width="45" style="61" customWidth="1"/>
    <col min="12803" max="12805" width="13.7109375" style="61" customWidth="1"/>
    <col min="12806" max="13056" width="9.140625" style="61"/>
    <col min="13057" max="13057" width="9" style="61" customWidth="1"/>
    <col min="13058" max="13058" width="45" style="61" customWidth="1"/>
    <col min="13059" max="13061" width="13.7109375" style="61" customWidth="1"/>
    <col min="13062" max="13312" width="9.140625" style="61"/>
    <col min="13313" max="13313" width="9" style="61" customWidth="1"/>
    <col min="13314" max="13314" width="45" style="61" customWidth="1"/>
    <col min="13315" max="13317" width="13.7109375" style="61" customWidth="1"/>
    <col min="13318" max="13568" width="9.140625" style="61"/>
    <col min="13569" max="13569" width="9" style="61" customWidth="1"/>
    <col min="13570" max="13570" width="45" style="61" customWidth="1"/>
    <col min="13571" max="13573" width="13.7109375" style="61" customWidth="1"/>
    <col min="13574" max="13824" width="9.140625" style="61"/>
    <col min="13825" max="13825" width="9" style="61" customWidth="1"/>
    <col min="13826" max="13826" width="45" style="61" customWidth="1"/>
    <col min="13827" max="13829" width="13.7109375" style="61" customWidth="1"/>
    <col min="13830" max="14080" width="9.140625" style="61"/>
    <col min="14081" max="14081" width="9" style="61" customWidth="1"/>
    <col min="14082" max="14082" width="45" style="61" customWidth="1"/>
    <col min="14083" max="14085" width="13.7109375" style="61" customWidth="1"/>
    <col min="14086" max="14336" width="9.140625" style="61"/>
    <col min="14337" max="14337" width="9" style="61" customWidth="1"/>
    <col min="14338" max="14338" width="45" style="61" customWidth="1"/>
    <col min="14339" max="14341" width="13.7109375" style="61" customWidth="1"/>
    <col min="14342" max="14592" width="9.140625" style="61"/>
    <col min="14593" max="14593" width="9" style="61" customWidth="1"/>
    <col min="14594" max="14594" width="45" style="61" customWidth="1"/>
    <col min="14595" max="14597" width="13.7109375" style="61" customWidth="1"/>
    <col min="14598" max="14848" width="9.140625" style="61"/>
    <col min="14849" max="14849" width="9" style="61" customWidth="1"/>
    <col min="14850" max="14850" width="45" style="61" customWidth="1"/>
    <col min="14851" max="14853" width="13.7109375" style="61" customWidth="1"/>
    <col min="14854" max="15104" width="9.140625" style="61"/>
    <col min="15105" max="15105" width="9" style="61" customWidth="1"/>
    <col min="15106" max="15106" width="45" style="61" customWidth="1"/>
    <col min="15107" max="15109" width="13.7109375" style="61" customWidth="1"/>
    <col min="15110" max="15360" width="9.140625" style="61"/>
    <col min="15361" max="15361" width="9" style="61" customWidth="1"/>
    <col min="15362" max="15362" width="45" style="61" customWidth="1"/>
    <col min="15363" max="15365" width="13.7109375" style="61" customWidth="1"/>
    <col min="15366" max="15616" width="9.140625" style="61"/>
    <col min="15617" max="15617" width="9" style="61" customWidth="1"/>
    <col min="15618" max="15618" width="45" style="61" customWidth="1"/>
    <col min="15619" max="15621" width="13.7109375" style="61" customWidth="1"/>
    <col min="15622" max="15872" width="9.140625" style="61"/>
    <col min="15873" max="15873" width="9" style="61" customWidth="1"/>
    <col min="15874" max="15874" width="45" style="61" customWidth="1"/>
    <col min="15875" max="15877" width="13.7109375" style="61" customWidth="1"/>
    <col min="15878" max="16128" width="9.140625" style="61"/>
    <col min="16129" max="16129" width="9" style="61" customWidth="1"/>
    <col min="16130" max="16130" width="45" style="61" customWidth="1"/>
    <col min="16131" max="16133" width="13.7109375" style="61" customWidth="1"/>
    <col min="16134" max="16384" width="9.140625" style="61"/>
  </cols>
  <sheetData>
    <row r="1" spans="1:5" s="60" customFormat="1" ht="18.75" x14ac:dyDescent="0.25">
      <c r="A1" s="441" t="s">
        <v>387</v>
      </c>
      <c r="B1" s="441"/>
      <c r="C1" s="441"/>
      <c r="D1" s="441"/>
      <c r="E1" s="441"/>
    </row>
    <row r="2" spans="1:5" ht="52.5" customHeight="1" x14ac:dyDescent="0.25">
      <c r="A2" s="442" t="s">
        <v>455</v>
      </c>
      <c r="B2" s="442"/>
      <c r="C2" s="442"/>
      <c r="D2" s="442"/>
      <c r="E2" s="442"/>
    </row>
    <row r="3" spans="1:5" ht="15.75" customHeight="1" x14ac:dyDescent="0.25">
      <c r="A3" s="443" t="s">
        <v>333</v>
      </c>
      <c r="B3" s="437" t="s">
        <v>52</v>
      </c>
      <c r="C3" s="434" t="s">
        <v>71</v>
      </c>
      <c r="D3" s="435"/>
      <c r="E3" s="436"/>
    </row>
    <row r="4" spans="1:5" s="60" customFormat="1" ht="18" customHeight="1" x14ac:dyDescent="0.25">
      <c r="A4" s="444"/>
      <c r="B4" s="446"/>
      <c r="C4" s="437" t="s">
        <v>3</v>
      </c>
      <c r="D4" s="439" t="s">
        <v>4</v>
      </c>
      <c r="E4" s="440"/>
    </row>
    <row r="5" spans="1:5" s="60" customFormat="1" ht="18.75" customHeight="1" x14ac:dyDescent="0.25">
      <c r="A5" s="445"/>
      <c r="B5" s="438"/>
      <c r="C5" s="438"/>
      <c r="D5" s="109" t="s">
        <v>5</v>
      </c>
      <c r="E5" s="109" t="s">
        <v>6</v>
      </c>
    </row>
    <row r="6" spans="1:5" s="63" customFormat="1" ht="15.75" customHeight="1" x14ac:dyDescent="0.25">
      <c r="A6" s="108">
        <v>1</v>
      </c>
      <c r="B6" s="109">
        <v>2</v>
      </c>
      <c r="C6" s="109">
        <v>3</v>
      </c>
      <c r="D6" s="108">
        <v>4</v>
      </c>
      <c r="E6" s="108">
        <v>5</v>
      </c>
    </row>
    <row r="7" spans="1:5" ht="18.75" x14ac:dyDescent="0.25">
      <c r="A7" s="64">
        <v>1</v>
      </c>
      <c r="B7" s="117" t="s">
        <v>7</v>
      </c>
      <c r="C7" s="66">
        <v>865.4</v>
      </c>
      <c r="D7" s="66">
        <v>865.4</v>
      </c>
      <c r="E7" s="66">
        <v>865.4</v>
      </c>
    </row>
    <row r="8" spans="1:5" ht="18.75" x14ac:dyDescent="0.25">
      <c r="A8" s="64">
        <v>2</v>
      </c>
      <c r="B8" s="117" t="s">
        <v>8</v>
      </c>
      <c r="C8" s="66">
        <v>455.1</v>
      </c>
      <c r="D8" s="66">
        <v>455.1</v>
      </c>
      <c r="E8" s="66">
        <v>455.1</v>
      </c>
    </row>
    <row r="9" spans="1:5" ht="18.75" x14ac:dyDescent="0.25">
      <c r="A9" s="64">
        <v>3</v>
      </c>
      <c r="B9" s="117" t="s">
        <v>10</v>
      </c>
      <c r="C9" s="66">
        <v>471.4</v>
      </c>
      <c r="D9" s="66">
        <v>471.4</v>
      </c>
      <c r="E9" s="66">
        <v>471.4</v>
      </c>
    </row>
    <row r="10" spans="1:5" ht="18.75" x14ac:dyDescent="0.25">
      <c r="A10" s="64">
        <v>4</v>
      </c>
      <c r="B10" s="117" t="s">
        <v>11</v>
      </c>
      <c r="C10" s="66">
        <v>858.9</v>
      </c>
      <c r="D10" s="66">
        <v>858.9</v>
      </c>
      <c r="E10" s="66">
        <v>858.9</v>
      </c>
    </row>
    <row r="11" spans="1:5" ht="18.75" x14ac:dyDescent="0.25">
      <c r="A11" s="64">
        <v>5</v>
      </c>
      <c r="B11" s="117" t="s">
        <v>12</v>
      </c>
      <c r="C11" s="66">
        <v>956</v>
      </c>
      <c r="D11" s="66">
        <v>956</v>
      </c>
      <c r="E11" s="66">
        <v>956</v>
      </c>
    </row>
    <row r="12" spans="1:5" ht="18.75" x14ac:dyDescent="0.25">
      <c r="A12" s="64">
        <v>6</v>
      </c>
      <c r="B12" s="117" t="s">
        <v>13</v>
      </c>
      <c r="C12" s="66">
        <v>949.5</v>
      </c>
      <c r="D12" s="66">
        <v>949.5</v>
      </c>
      <c r="E12" s="66">
        <v>949.5</v>
      </c>
    </row>
    <row r="13" spans="1:5" ht="18.75" x14ac:dyDescent="0.25">
      <c r="A13" s="64">
        <v>7</v>
      </c>
      <c r="B13" s="117" t="s">
        <v>14</v>
      </c>
      <c r="C13" s="66">
        <v>982.1</v>
      </c>
      <c r="D13" s="66">
        <v>982.1</v>
      </c>
      <c r="E13" s="66">
        <v>982.1</v>
      </c>
    </row>
    <row r="14" spans="1:5" ht="18.75" x14ac:dyDescent="0.25">
      <c r="A14" s="64">
        <v>8</v>
      </c>
      <c r="B14" s="117" t="s">
        <v>15</v>
      </c>
      <c r="C14" s="66">
        <v>884.4</v>
      </c>
      <c r="D14" s="66">
        <v>884.4</v>
      </c>
      <c r="E14" s="66">
        <v>884.4</v>
      </c>
    </row>
    <row r="15" spans="1:5" ht="18.75" x14ac:dyDescent="0.25">
      <c r="A15" s="64">
        <v>9</v>
      </c>
      <c r="B15" s="118" t="s">
        <v>16</v>
      </c>
      <c r="C15" s="66">
        <v>1010.1</v>
      </c>
      <c r="D15" s="66">
        <v>1010.1</v>
      </c>
      <c r="E15" s="66">
        <v>1010.1</v>
      </c>
    </row>
    <row r="16" spans="1:5" ht="18.75" x14ac:dyDescent="0.25">
      <c r="A16" s="64">
        <v>10</v>
      </c>
      <c r="B16" s="118" t="s">
        <v>17</v>
      </c>
      <c r="C16" s="66">
        <v>997.1</v>
      </c>
      <c r="D16" s="66">
        <v>997.1</v>
      </c>
      <c r="E16" s="66">
        <v>997.1</v>
      </c>
    </row>
    <row r="17" spans="1:17" ht="18.75" x14ac:dyDescent="0.25">
      <c r="A17" s="64">
        <v>11</v>
      </c>
      <c r="B17" s="117" t="s">
        <v>18</v>
      </c>
      <c r="C17" s="66">
        <v>1160.0999999999999</v>
      </c>
      <c r="D17" s="66">
        <v>1160.0999999999999</v>
      </c>
      <c r="E17" s="66">
        <v>1160.0999999999999</v>
      </c>
    </row>
    <row r="18" spans="1:17" ht="18.75" x14ac:dyDescent="0.25">
      <c r="A18" s="64">
        <v>12</v>
      </c>
      <c r="B18" s="117" t="s">
        <v>19</v>
      </c>
      <c r="C18" s="66">
        <v>1036.2</v>
      </c>
      <c r="D18" s="66">
        <v>1036.2</v>
      </c>
      <c r="E18" s="66">
        <v>1036.2</v>
      </c>
    </row>
    <row r="19" spans="1:17" ht="18.75" x14ac:dyDescent="0.25">
      <c r="A19" s="64">
        <v>13</v>
      </c>
      <c r="B19" s="117" t="s">
        <v>20</v>
      </c>
      <c r="C19" s="66">
        <v>1368.4</v>
      </c>
      <c r="D19" s="66">
        <v>1368.4</v>
      </c>
      <c r="E19" s="66">
        <v>1368.4</v>
      </c>
      <c r="Q19" s="212"/>
    </row>
    <row r="20" spans="1:17" ht="18.75" x14ac:dyDescent="0.25">
      <c r="A20" s="64">
        <v>14</v>
      </c>
      <c r="B20" s="117" t="s">
        <v>21</v>
      </c>
      <c r="C20" s="66">
        <v>1003.6</v>
      </c>
      <c r="D20" s="66">
        <v>1003.6</v>
      </c>
      <c r="E20" s="66">
        <v>1003.6</v>
      </c>
    </row>
    <row r="21" spans="1:17" ht="18.75" x14ac:dyDescent="0.25">
      <c r="A21" s="64">
        <v>15</v>
      </c>
      <c r="B21" s="117" t="s">
        <v>22</v>
      </c>
      <c r="C21" s="66">
        <v>1277.2</v>
      </c>
      <c r="D21" s="66">
        <v>1277.2</v>
      </c>
      <c r="E21" s="66">
        <v>1277.2</v>
      </c>
    </row>
    <row r="22" spans="1:17" ht="18.75" x14ac:dyDescent="0.25">
      <c r="A22" s="64">
        <v>16</v>
      </c>
      <c r="B22" s="117" t="s">
        <v>23</v>
      </c>
      <c r="C22" s="66">
        <v>1322.8</v>
      </c>
      <c r="D22" s="66">
        <v>1322.8</v>
      </c>
      <c r="E22" s="66">
        <v>1322.8</v>
      </c>
    </row>
    <row r="23" spans="1:17" ht="18.75" x14ac:dyDescent="0.25">
      <c r="A23" s="64">
        <v>17</v>
      </c>
      <c r="B23" s="117" t="s">
        <v>24</v>
      </c>
      <c r="C23" s="66">
        <v>997.1</v>
      </c>
      <c r="D23" s="66">
        <v>997.1</v>
      </c>
      <c r="E23" s="66">
        <v>997.1</v>
      </c>
    </row>
    <row r="24" spans="1:17" ht="18.75" x14ac:dyDescent="0.25">
      <c r="A24" s="64">
        <v>18</v>
      </c>
      <c r="B24" s="117" t="s">
        <v>25</v>
      </c>
      <c r="C24" s="66">
        <v>897.4</v>
      </c>
      <c r="D24" s="66">
        <v>897.4</v>
      </c>
      <c r="E24" s="66">
        <v>897.4</v>
      </c>
    </row>
    <row r="25" spans="1:17" ht="18.75" x14ac:dyDescent="0.25">
      <c r="A25" s="64">
        <v>19</v>
      </c>
      <c r="B25" s="117" t="s">
        <v>26</v>
      </c>
      <c r="C25" s="66">
        <v>1309.7</v>
      </c>
      <c r="D25" s="66">
        <v>1309.7</v>
      </c>
      <c r="E25" s="66">
        <v>1309.7</v>
      </c>
    </row>
    <row r="26" spans="1:17" ht="18.75" x14ac:dyDescent="0.25">
      <c r="A26" s="64">
        <v>20</v>
      </c>
      <c r="B26" s="117" t="s">
        <v>27</v>
      </c>
      <c r="C26" s="66">
        <v>897.4</v>
      </c>
      <c r="D26" s="66">
        <v>897.4</v>
      </c>
      <c r="E26" s="66">
        <v>897.4</v>
      </c>
    </row>
    <row r="27" spans="1:17" ht="18.75" x14ac:dyDescent="0.25">
      <c r="A27" s="64">
        <v>21</v>
      </c>
      <c r="B27" s="117" t="s">
        <v>28</v>
      </c>
      <c r="C27" s="66">
        <v>1368.4</v>
      </c>
      <c r="D27" s="66">
        <v>1368.4</v>
      </c>
      <c r="E27" s="66">
        <v>1368.4</v>
      </c>
    </row>
    <row r="28" spans="1:17" ht="18.75" x14ac:dyDescent="0.25">
      <c r="A28" s="64">
        <v>22</v>
      </c>
      <c r="B28" s="117" t="s">
        <v>29</v>
      </c>
      <c r="C28" s="66">
        <v>1088.5</v>
      </c>
      <c r="D28" s="66">
        <v>1088.5</v>
      </c>
      <c r="E28" s="66">
        <v>1088.5</v>
      </c>
    </row>
    <row r="29" spans="1:17" ht="18.75" x14ac:dyDescent="0.25">
      <c r="A29" s="64">
        <v>23</v>
      </c>
      <c r="B29" s="117" t="s">
        <v>30</v>
      </c>
      <c r="C29" s="66">
        <v>852.4</v>
      </c>
      <c r="D29" s="66">
        <v>852.4</v>
      </c>
      <c r="E29" s="66">
        <v>852.4</v>
      </c>
    </row>
    <row r="30" spans="1:17" ht="18.75" x14ac:dyDescent="0.25">
      <c r="A30" s="64">
        <v>24</v>
      </c>
      <c r="B30" s="117" t="s">
        <v>31</v>
      </c>
      <c r="C30" s="66">
        <v>1001.6</v>
      </c>
      <c r="D30" s="66">
        <v>1001.6</v>
      </c>
      <c r="E30" s="66">
        <v>1001.6</v>
      </c>
    </row>
    <row r="31" spans="1:17" ht="18.75" x14ac:dyDescent="0.25">
      <c r="A31" s="64">
        <v>25</v>
      </c>
      <c r="B31" s="117" t="s">
        <v>32</v>
      </c>
      <c r="C31" s="66">
        <v>1140.4000000000001</v>
      </c>
      <c r="D31" s="66">
        <v>1140.4000000000001</v>
      </c>
      <c r="E31" s="66">
        <v>1140.4000000000001</v>
      </c>
    </row>
    <row r="32" spans="1:17" ht="18.75" x14ac:dyDescent="0.25">
      <c r="A32" s="64">
        <v>26</v>
      </c>
      <c r="B32" s="117" t="s">
        <v>33</v>
      </c>
      <c r="C32" s="66">
        <v>990.6</v>
      </c>
      <c r="D32" s="66">
        <v>990.6</v>
      </c>
      <c r="E32" s="66">
        <v>990.6</v>
      </c>
    </row>
    <row r="33" spans="1:5" ht="18.75" x14ac:dyDescent="0.25">
      <c r="A33" s="64">
        <v>27</v>
      </c>
      <c r="B33" s="117" t="s">
        <v>34</v>
      </c>
      <c r="C33" s="66">
        <v>806.8</v>
      </c>
      <c r="D33" s="66">
        <v>806.8</v>
      </c>
      <c r="E33" s="66">
        <v>806.8</v>
      </c>
    </row>
    <row r="34" spans="1:5" ht="18.75" x14ac:dyDescent="0.25">
      <c r="A34" s="64">
        <v>28</v>
      </c>
      <c r="B34" s="117" t="s">
        <v>35</v>
      </c>
      <c r="C34" s="66">
        <v>1134.0999999999999</v>
      </c>
      <c r="D34" s="66">
        <v>1134.0999999999999</v>
      </c>
      <c r="E34" s="66">
        <v>1134.0999999999999</v>
      </c>
    </row>
    <row r="35" spans="1:5" ht="18.75" x14ac:dyDescent="0.25">
      <c r="A35" s="64">
        <v>29</v>
      </c>
      <c r="B35" s="117" t="s">
        <v>36</v>
      </c>
      <c r="C35" s="66">
        <v>943</v>
      </c>
      <c r="D35" s="66">
        <v>943</v>
      </c>
      <c r="E35" s="66">
        <v>943</v>
      </c>
    </row>
    <row r="36" spans="1:5" ht="18.75" x14ac:dyDescent="0.25">
      <c r="A36" s="64">
        <v>30</v>
      </c>
      <c r="B36" s="117" t="s">
        <v>37</v>
      </c>
      <c r="C36" s="66">
        <v>1127.5</v>
      </c>
      <c r="D36" s="66">
        <v>1127.5</v>
      </c>
      <c r="E36" s="66">
        <v>1127.5</v>
      </c>
    </row>
    <row r="37" spans="1:5" ht="18.75" x14ac:dyDescent="0.25">
      <c r="A37" s="64">
        <v>31</v>
      </c>
      <c r="B37" s="117" t="s">
        <v>38</v>
      </c>
      <c r="C37" s="66">
        <v>1368.4</v>
      </c>
      <c r="D37" s="66">
        <v>1368.4</v>
      </c>
      <c r="E37" s="66">
        <v>1368.4</v>
      </c>
    </row>
    <row r="38" spans="1:5" ht="18.75" x14ac:dyDescent="0.25">
      <c r="A38" s="64">
        <v>32</v>
      </c>
      <c r="B38" s="117" t="s">
        <v>39</v>
      </c>
      <c r="C38" s="66">
        <v>1094.9000000000001</v>
      </c>
      <c r="D38" s="66">
        <v>1094.9000000000001</v>
      </c>
      <c r="E38" s="66">
        <v>1094.9000000000001</v>
      </c>
    </row>
    <row r="39" spans="1:5" ht="18.75" x14ac:dyDescent="0.25">
      <c r="A39" s="64">
        <v>33</v>
      </c>
      <c r="B39" s="117" t="s">
        <v>40</v>
      </c>
      <c r="C39" s="66">
        <v>531.4</v>
      </c>
      <c r="D39" s="66">
        <v>531.4</v>
      </c>
      <c r="E39" s="66">
        <v>531.4</v>
      </c>
    </row>
    <row r="40" spans="1:5" ht="18.75" x14ac:dyDescent="0.25">
      <c r="A40" s="64">
        <v>34</v>
      </c>
      <c r="B40" s="117" t="s">
        <v>41</v>
      </c>
      <c r="C40" s="66">
        <v>1127.4000000000001</v>
      </c>
      <c r="D40" s="66">
        <v>1127.4000000000001</v>
      </c>
      <c r="E40" s="66">
        <v>1127.4000000000001</v>
      </c>
    </row>
    <row r="41" spans="1:5" ht="18.75" x14ac:dyDescent="0.25">
      <c r="A41" s="64">
        <v>35</v>
      </c>
      <c r="B41" s="117" t="s">
        <v>42</v>
      </c>
      <c r="C41" s="66">
        <v>1010.1</v>
      </c>
      <c r="D41" s="66">
        <v>1010.1</v>
      </c>
      <c r="E41" s="66">
        <v>1010.1</v>
      </c>
    </row>
    <row r="42" spans="1:5" ht="18.75" x14ac:dyDescent="0.25">
      <c r="A42" s="64">
        <v>36</v>
      </c>
      <c r="B42" s="117" t="s">
        <v>43</v>
      </c>
      <c r="C42" s="66">
        <v>969</v>
      </c>
      <c r="D42" s="66">
        <v>969</v>
      </c>
      <c r="E42" s="66">
        <v>969</v>
      </c>
    </row>
    <row r="43" spans="1:5" ht="18.75" x14ac:dyDescent="0.25">
      <c r="A43" s="64">
        <v>37</v>
      </c>
      <c r="B43" s="117" t="s">
        <v>44</v>
      </c>
      <c r="C43" s="66">
        <v>532.70000000000005</v>
      </c>
      <c r="D43" s="66">
        <v>532.70000000000005</v>
      </c>
      <c r="E43" s="66">
        <v>532.70000000000005</v>
      </c>
    </row>
    <row r="44" spans="1:5" ht="18.75" x14ac:dyDescent="0.25">
      <c r="A44" s="64">
        <v>38</v>
      </c>
      <c r="B44" s="117" t="s">
        <v>45</v>
      </c>
      <c r="C44" s="66">
        <v>1055.9000000000001</v>
      </c>
      <c r="D44" s="66">
        <v>1055.9000000000001</v>
      </c>
      <c r="E44" s="66">
        <v>1055.9000000000001</v>
      </c>
    </row>
    <row r="45" spans="1:5" ht="18.75" x14ac:dyDescent="0.25">
      <c r="A45" s="64">
        <v>39</v>
      </c>
      <c r="B45" s="117" t="s">
        <v>46</v>
      </c>
      <c r="C45" s="66">
        <v>1133.9000000000001</v>
      </c>
      <c r="D45" s="66">
        <v>1133.9000000000001</v>
      </c>
      <c r="E45" s="66">
        <v>1133.9000000000001</v>
      </c>
    </row>
    <row r="46" spans="1:5" ht="18.75" x14ac:dyDescent="0.3">
      <c r="A46" s="64">
        <v>40</v>
      </c>
      <c r="B46" s="119" t="s">
        <v>47</v>
      </c>
      <c r="C46" s="66">
        <v>1023.1</v>
      </c>
      <c r="D46" s="66">
        <v>1023.1</v>
      </c>
      <c r="E46" s="66">
        <v>1023.1</v>
      </c>
    </row>
    <row r="47" spans="1:5" ht="17.25" customHeight="1" x14ac:dyDescent="0.25">
      <c r="A47" s="68"/>
      <c r="B47" s="69" t="s">
        <v>49</v>
      </c>
      <c r="C47" s="70">
        <f>SUM(C7:C46)</f>
        <v>40000.000000000007</v>
      </c>
      <c r="D47" s="70">
        <f>SUM(D7:D46)</f>
        <v>40000.000000000007</v>
      </c>
      <c r="E47" s="70">
        <f>SUM(E7:E46)</f>
        <v>40000.000000000007</v>
      </c>
    </row>
    <row r="48" spans="1:5" x14ac:dyDescent="0.25">
      <c r="A48" s="71"/>
      <c r="B48" s="71"/>
      <c r="C48" s="71"/>
    </row>
  </sheetData>
  <mergeCells count="7">
    <mergeCell ref="A1:E1"/>
    <mergeCell ref="A2:E2"/>
    <mergeCell ref="C3:E3"/>
    <mergeCell ref="D4:E4"/>
    <mergeCell ref="C4:C5"/>
    <mergeCell ref="A3:A5"/>
    <mergeCell ref="B3:B5"/>
  </mergeCells>
  <printOptions horizontalCentered="1"/>
  <pageMargins left="0.59055118110236227" right="0.39370078740157483" top="0.39370078740157483" bottom="0.39370078740157483" header="0" footer="0"/>
  <pageSetup paperSize="9" scale="89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"/>
  <sheetViews>
    <sheetView view="pageBreakPreview" zoomScaleNormal="100" zoomScaleSheetLayoutView="100" workbookViewId="0">
      <selection activeCell="D12" sqref="D12"/>
    </sheetView>
  </sheetViews>
  <sheetFormatPr defaultColWidth="9.140625" defaultRowHeight="18.75" x14ac:dyDescent="0.25"/>
  <cols>
    <col min="1" max="1" width="9.140625" style="2"/>
    <col min="2" max="2" width="38.42578125" style="2" customWidth="1"/>
    <col min="3" max="4" width="22" style="9" customWidth="1"/>
    <col min="5" max="5" width="23.8554687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1"/>
      <c r="B1" s="450" t="s">
        <v>50</v>
      </c>
      <c r="C1" s="450"/>
      <c r="D1" s="450"/>
      <c r="E1" s="450"/>
    </row>
    <row r="2" spans="1:5" ht="60" customHeight="1" x14ac:dyDescent="0.25">
      <c r="A2" s="451" t="s">
        <v>450</v>
      </c>
      <c r="B2" s="451"/>
      <c r="C2" s="451"/>
      <c r="D2" s="451"/>
      <c r="E2" s="451"/>
    </row>
    <row r="3" spans="1:5" x14ac:dyDescent="0.25">
      <c r="A3" s="1"/>
      <c r="B3" s="3"/>
      <c r="C3" s="4"/>
      <c r="D3" s="4"/>
      <c r="E3" s="5" t="s">
        <v>61</v>
      </c>
    </row>
    <row r="4" spans="1:5" x14ac:dyDescent="0.25">
      <c r="A4" s="452" t="s">
        <v>62</v>
      </c>
      <c r="B4" s="453" t="s">
        <v>52</v>
      </c>
      <c r="C4" s="454" t="s">
        <v>2</v>
      </c>
      <c r="D4" s="455"/>
      <c r="E4" s="455"/>
    </row>
    <row r="5" spans="1:5" x14ac:dyDescent="0.25">
      <c r="A5" s="452"/>
      <c r="B5" s="453"/>
      <c r="C5" s="456" t="s">
        <v>3</v>
      </c>
      <c r="D5" s="458" t="s">
        <v>4</v>
      </c>
      <c r="E5" s="454"/>
    </row>
    <row r="6" spans="1:5" x14ac:dyDescent="0.25">
      <c r="A6" s="452"/>
      <c r="B6" s="453"/>
      <c r="C6" s="457"/>
      <c r="D6" s="209" t="s">
        <v>5</v>
      </c>
      <c r="E6" s="209" t="s">
        <v>6</v>
      </c>
    </row>
    <row r="7" spans="1:5" x14ac:dyDescent="0.25">
      <c r="A7" s="6">
        <v>1</v>
      </c>
      <c r="B7" s="7">
        <v>2</v>
      </c>
      <c r="C7" s="8">
        <v>3</v>
      </c>
      <c r="D7" s="209">
        <v>4</v>
      </c>
      <c r="E7" s="209">
        <v>5</v>
      </c>
    </row>
    <row r="8" spans="1:5" x14ac:dyDescent="0.25">
      <c r="A8" s="10">
        <v>1</v>
      </c>
      <c r="B8" s="14" t="s">
        <v>10</v>
      </c>
      <c r="C8" s="372">
        <v>31486</v>
      </c>
      <c r="D8" s="372">
        <v>94456.1</v>
      </c>
      <c r="E8" s="372">
        <v>94456.1</v>
      </c>
    </row>
    <row r="9" spans="1:5" x14ac:dyDescent="0.25">
      <c r="A9" s="204" t="s">
        <v>58</v>
      </c>
      <c r="B9" s="93" t="s">
        <v>49</v>
      </c>
      <c r="C9" s="373">
        <f>C8</f>
        <v>31486</v>
      </c>
      <c r="D9" s="373">
        <f t="shared" ref="D9:E9" si="0">D8</f>
        <v>94456.1</v>
      </c>
      <c r="E9" s="373">
        <f t="shared" si="0"/>
        <v>94456.1</v>
      </c>
    </row>
    <row r="10" spans="1:5" x14ac:dyDescent="0.25">
      <c r="A10" s="447"/>
      <c r="B10" s="447"/>
      <c r="C10" s="447"/>
      <c r="D10" s="447"/>
      <c r="E10" s="447"/>
    </row>
    <row r="11" spans="1:5" ht="78.75" customHeight="1" x14ac:dyDescent="0.25">
      <c r="A11" s="448"/>
      <c r="B11" s="449"/>
      <c r="C11" s="449"/>
      <c r="D11" s="449"/>
      <c r="E11" s="449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" footer="0"/>
  <pageSetup paperSize="9" scale="80" fitToHeight="0" orientation="portrait" r:id="rId1"/>
  <headerFooter alignWithMargins="0">
    <oddHeader>&amp;C&amp;"Times New Roman,обычный"&amp;12&amp;P</oddHeader>
    <firstFooter>&amp;L&amp;Z&amp;F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6"/>
  <sheetViews>
    <sheetView view="pageBreakPreview" zoomScaleNormal="75" zoomScaleSheetLayoutView="100" workbookViewId="0">
      <selection activeCell="I11" sqref="I11"/>
    </sheetView>
  </sheetViews>
  <sheetFormatPr defaultColWidth="9.140625" defaultRowHeight="18.75" x14ac:dyDescent="0.3"/>
  <cols>
    <col min="1" max="1" width="6.7109375" style="129" bestFit="1" customWidth="1"/>
    <col min="2" max="2" width="55.42578125" style="129" customWidth="1"/>
    <col min="3" max="3" width="18" style="129" customWidth="1"/>
    <col min="4" max="4" width="17.7109375" style="129" customWidth="1"/>
    <col min="5" max="5" width="17.140625" style="129" customWidth="1"/>
    <col min="6" max="16384" width="9.140625" style="129"/>
  </cols>
  <sheetData>
    <row r="1" spans="1:5" x14ac:dyDescent="0.3">
      <c r="A1" s="462" t="s">
        <v>353</v>
      </c>
      <c r="B1" s="462"/>
      <c r="C1" s="462"/>
      <c r="D1" s="462"/>
      <c r="E1" s="462"/>
    </row>
    <row r="2" spans="1:5" ht="99" customHeight="1" x14ac:dyDescent="0.3">
      <c r="A2" s="463" t="s">
        <v>445</v>
      </c>
      <c r="B2" s="463"/>
      <c r="C2" s="463"/>
      <c r="D2" s="463"/>
      <c r="E2" s="463"/>
    </row>
    <row r="3" spans="1:5" ht="15.75" customHeight="1" x14ac:dyDescent="0.3">
      <c r="A3" s="464" t="s">
        <v>0</v>
      </c>
      <c r="B3" s="464" t="s">
        <v>1</v>
      </c>
      <c r="C3" s="428" t="s">
        <v>2</v>
      </c>
      <c r="D3" s="428"/>
      <c r="E3" s="428"/>
    </row>
    <row r="4" spans="1:5" ht="15.75" customHeight="1" x14ac:dyDescent="0.3">
      <c r="A4" s="464"/>
      <c r="B4" s="464"/>
      <c r="C4" s="465" t="s">
        <v>3</v>
      </c>
      <c r="D4" s="428" t="s">
        <v>4</v>
      </c>
      <c r="E4" s="428"/>
    </row>
    <row r="5" spans="1:5" ht="15.75" customHeight="1" x14ac:dyDescent="0.3">
      <c r="A5" s="464"/>
      <c r="B5" s="464"/>
      <c r="C5" s="466"/>
      <c r="D5" s="126" t="s">
        <v>5</v>
      </c>
      <c r="E5" s="126" t="s">
        <v>6</v>
      </c>
    </row>
    <row r="6" spans="1:5" x14ac:dyDescent="0.3">
      <c r="A6" s="131">
        <v>1</v>
      </c>
      <c r="B6" s="131">
        <v>2</v>
      </c>
      <c r="C6" s="121">
        <v>3</v>
      </c>
      <c r="D6" s="127">
        <v>4</v>
      </c>
      <c r="E6" s="127">
        <v>5</v>
      </c>
    </row>
    <row r="7" spans="1:5" x14ac:dyDescent="0.3">
      <c r="A7" s="10">
        <v>1</v>
      </c>
      <c r="B7" s="14" t="s">
        <v>11</v>
      </c>
      <c r="C7" s="132">
        <v>2262.8000000000002</v>
      </c>
      <c r="D7" s="132">
        <f>C7</f>
        <v>2262.8000000000002</v>
      </c>
      <c r="E7" s="132">
        <f>C7</f>
        <v>2262.8000000000002</v>
      </c>
    </row>
    <row r="8" spans="1:5" x14ac:dyDescent="0.3">
      <c r="A8" s="10">
        <v>2</v>
      </c>
      <c r="B8" s="14" t="s">
        <v>12</v>
      </c>
      <c r="C8" s="132">
        <v>1871.3</v>
      </c>
      <c r="D8" s="132">
        <f t="shared" ref="D8:D42" si="0">C8</f>
        <v>1871.3</v>
      </c>
      <c r="E8" s="132">
        <f t="shared" ref="E8:E42" si="1">C8</f>
        <v>1871.3</v>
      </c>
    </row>
    <row r="9" spans="1:5" x14ac:dyDescent="0.3">
      <c r="A9" s="10">
        <v>3</v>
      </c>
      <c r="B9" s="14" t="s">
        <v>13</v>
      </c>
      <c r="C9" s="132">
        <v>1177.9000000000001</v>
      </c>
      <c r="D9" s="132">
        <f t="shared" si="0"/>
        <v>1177.9000000000001</v>
      </c>
      <c r="E9" s="132">
        <f t="shared" si="1"/>
        <v>1177.9000000000001</v>
      </c>
    </row>
    <row r="10" spans="1:5" x14ac:dyDescent="0.3">
      <c r="A10" s="10">
        <v>4</v>
      </c>
      <c r="B10" s="14" t="s">
        <v>14</v>
      </c>
      <c r="C10" s="132">
        <v>4229.3</v>
      </c>
      <c r="D10" s="132">
        <f t="shared" si="0"/>
        <v>4229.3</v>
      </c>
      <c r="E10" s="132">
        <f t="shared" si="1"/>
        <v>4229.3</v>
      </c>
    </row>
    <row r="11" spans="1:5" x14ac:dyDescent="0.3">
      <c r="A11" s="10">
        <v>5</v>
      </c>
      <c r="B11" s="14" t="s">
        <v>15</v>
      </c>
      <c r="C11" s="132">
        <v>4827.3</v>
      </c>
      <c r="D11" s="132">
        <f t="shared" si="0"/>
        <v>4827.3</v>
      </c>
      <c r="E11" s="132">
        <f t="shared" si="1"/>
        <v>4827.3</v>
      </c>
    </row>
    <row r="12" spans="1:5" x14ac:dyDescent="0.3">
      <c r="A12" s="10">
        <v>6</v>
      </c>
      <c r="B12" s="133" t="s">
        <v>16</v>
      </c>
      <c r="C12" s="132">
        <v>806.9</v>
      </c>
      <c r="D12" s="132">
        <f t="shared" si="0"/>
        <v>806.9</v>
      </c>
      <c r="E12" s="132">
        <f t="shared" si="1"/>
        <v>806.9</v>
      </c>
    </row>
    <row r="13" spans="1:5" x14ac:dyDescent="0.3">
      <c r="A13" s="10">
        <v>7</v>
      </c>
      <c r="B13" s="133" t="s">
        <v>17</v>
      </c>
      <c r="C13" s="132">
        <v>1509.6</v>
      </c>
      <c r="D13" s="132">
        <f t="shared" si="0"/>
        <v>1509.6</v>
      </c>
      <c r="E13" s="132">
        <f t="shared" si="1"/>
        <v>1509.6</v>
      </c>
    </row>
    <row r="14" spans="1:5" x14ac:dyDescent="0.3">
      <c r="A14" s="10">
        <v>8</v>
      </c>
      <c r="B14" s="14" t="s">
        <v>18</v>
      </c>
      <c r="C14" s="132">
        <v>1661.2</v>
      </c>
      <c r="D14" s="132">
        <f t="shared" si="0"/>
        <v>1661.2</v>
      </c>
      <c r="E14" s="132">
        <f t="shared" si="1"/>
        <v>1661.2</v>
      </c>
    </row>
    <row r="15" spans="1:5" x14ac:dyDescent="0.3">
      <c r="A15" s="10">
        <v>9</v>
      </c>
      <c r="B15" s="14" t="s">
        <v>19</v>
      </c>
      <c r="C15" s="132">
        <v>1698.8</v>
      </c>
      <c r="D15" s="132">
        <f t="shared" si="0"/>
        <v>1698.8</v>
      </c>
      <c r="E15" s="132">
        <f t="shared" si="1"/>
        <v>1698.8</v>
      </c>
    </row>
    <row r="16" spans="1:5" x14ac:dyDescent="0.3">
      <c r="A16" s="10">
        <v>10</v>
      </c>
      <c r="B16" s="14" t="s">
        <v>20</v>
      </c>
      <c r="C16" s="132">
        <v>1004.6</v>
      </c>
      <c r="D16" s="132">
        <f t="shared" si="0"/>
        <v>1004.6</v>
      </c>
      <c r="E16" s="132">
        <f t="shared" si="1"/>
        <v>1004.6</v>
      </c>
    </row>
    <row r="17" spans="1:5" x14ac:dyDescent="0.3">
      <c r="A17" s="10">
        <v>11</v>
      </c>
      <c r="B17" s="14" t="s">
        <v>21</v>
      </c>
      <c r="C17" s="132">
        <v>468.5</v>
      </c>
      <c r="D17" s="132">
        <f t="shared" si="0"/>
        <v>468.5</v>
      </c>
      <c r="E17" s="132">
        <f t="shared" si="1"/>
        <v>468.5</v>
      </c>
    </row>
    <row r="18" spans="1:5" x14ac:dyDescent="0.3">
      <c r="A18" s="10">
        <v>12</v>
      </c>
      <c r="B18" s="14" t="s">
        <v>22</v>
      </c>
      <c r="C18" s="132">
        <v>1057.9000000000001</v>
      </c>
      <c r="D18" s="132">
        <f t="shared" si="0"/>
        <v>1057.9000000000001</v>
      </c>
      <c r="E18" s="132">
        <f t="shared" si="1"/>
        <v>1057.9000000000001</v>
      </c>
    </row>
    <row r="19" spans="1:5" x14ac:dyDescent="0.3">
      <c r="A19" s="10">
        <v>13</v>
      </c>
      <c r="B19" s="14" t="s">
        <v>23</v>
      </c>
      <c r="C19" s="132">
        <v>1197.8</v>
      </c>
      <c r="D19" s="132">
        <f t="shared" si="0"/>
        <v>1197.8</v>
      </c>
      <c r="E19" s="132">
        <f t="shared" si="1"/>
        <v>1197.8</v>
      </c>
    </row>
    <row r="20" spans="1:5" x14ac:dyDescent="0.3">
      <c r="A20" s="10">
        <v>14</v>
      </c>
      <c r="B20" s="14" t="s">
        <v>24</v>
      </c>
      <c r="C20" s="132">
        <v>1980.5</v>
      </c>
      <c r="D20" s="132">
        <f t="shared" si="0"/>
        <v>1980.5</v>
      </c>
      <c r="E20" s="132">
        <f t="shared" si="1"/>
        <v>1980.5</v>
      </c>
    </row>
    <row r="21" spans="1:5" x14ac:dyDescent="0.3">
      <c r="A21" s="10">
        <v>15</v>
      </c>
      <c r="B21" s="14" t="s">
        <v>25</v>
      </c>
      <c r="C21" s="132">
        <v>3386.9</v>
      </c>
      <c r="D21" s="132">
        <f t="shared" si="0"/>
        <v>3386.9</v>
      </c>
      <c r="E21" s="132">
        <f t="shared" si="1"/>
        <v>3386.9</v>
      </c>
    </row>
    <row r="22" spans="1:5" x14ac:dyDescent="0.3">
      <c r="A22" s="10">
        <v>16</v>
      </c>
      <c r="B22" s="14" t="s">
        <v>26</v>
      </c>
      <c r="C22" s="132">
        <v>288.60000000000002</v>
      </c>
      <c r="D22" s="132">
        <f t="shared" si="0"/>
        <v>288.60000000000002</v>
      </c>
      <c r="E22" s="132">
        <f t="shared" si="1"/>
        <v>288.60000000000002</v>
      </c>
    </row>
    <row r="23" spans="1:5" x14ac:dyDescent="0.3">
      <c r="A23" s="10">
        <v>17</v>
      </c>
      <c r="B23" s="14" t="s">
        <v>27</v>
      </c>
      <c r="C23" s="132">
        <v>1807.3</v>
      </c>
      <c r="D23" s="132">
        <f t="shared" si="0"/>
        <v>1807.3</v>
      </c>
      <c r="E23" s="132">
        <f t="shared" si="1"/>
        <v>1807.3</v>
      </c>
    </row>
    <row r="24" spans="1:5" x14ac:dyDescent="0.3">
      <c r="A24" s="10">
        <v>18</v>
      </c>
      <c r="B24" s="14" t="s">
        <v>28</v>
      </c>
      <c r="C24" s="132">
        <v>898.8</v>
      </c>
      <c r="D24" s="132">
        <f t="shared" si="0"/>
        <v>898.8</v>
      </c>
      <c r="E24" s="132">
        <f t="shared" si="1"/>
        <v>898.8</v>
      </c>
    </row>
    <row r="25" spans="1:5" x14ac:dyDescent="0.3">
      <c r="A25" s="10">
        <v>19</v>
      </c>
      <c r="B25" s="14" t="s">
        <v>29</v>
      </c>
      <c r="C25" s="132">
        <v>5032.8</v>
      </c>
      <c r="D25" s="132">
        <f t="shared" si="0"/>
        <v>5032.8</v>
      </c>
      <c r="E25" s="132">
        <f t="shared" si="1"/>
        <v>5032.8</v>
      </c>
    </row>
    <row r="26" spans="1:5" x14ac:dyDescent="0.3">
      <c r="A26" s="10">
        <v>20</v>
      </c>
      <c r="B26" s="14" t="s">
        <v>30</v>
      </c>
      <c r="C26" s="132">
        <v>4333.6000000000004</v>
      </c>
      <c r="D26" s="132">
        <f t="shared" si="0"/>
        <v>4333.6000000000004</v>
      </c>
      <c r="E26" s="132">
        <f t="shared" si="1"/>
        <v>4333.6000000000004</v>
      </c>
    </row>
    <row r="27" spans="1:5" x14ac:dyDescent="0.3">
      <c r="A27" s="10">
        <v>21</v>
      </c>
      <c r="B27" s="14" t="s">
        <v>31</v>
      </c>
      <c r="C27" s="132">
        <v>1185.0999999999999</v>
      </c>
      <c r="D27" s="132">
        <f t="shared" si="0"/>
        <v>1185.0999999999999</v>
      </c>
      <c r="E27" s="132">
        <f t="shared" si="1"/>
        <v>1185.0999999999999</v>
      </c>
    </row>
    <row r="28" spans="1:5" x14ac:dyDescent="0.3">
      <c r="A28" s="10">
        <v>22</v>
      </c>
      <c r="B28" s="14" t="s">
        <v>32</v>
      </c>
      <c r="C28" s="132">
        <v>1773.2</v>
      </c>
      <c r="D28" s="132">
        <f t="shared" si="0"/>
        <v>1773.2</v>
      </c>
      <c r="E28" s="132">
        <f t="shared" si="1"/>
        <v>1773.2</v>
      </c>
    </row>
    <row r="29" spans="1:5" x14ac:dyDescent="0.3">
      <c r="A29" s="10">
        <v>23</v>
      </c>
      <c r="B29" s="14" t="s">
        <v>33</v>
      </c>
      <c r="C29" s="132">
        <v>4124.3999999999996</v>
      </c>
      <c r="D29" s="132">
        <f t="shared" si="0"/>
        <v>4124.3999999999996</v>
      </c>
      <c r="E29" s="132">
        <f t="shared" si="1"/>
        <v>4124.3999999999996</v>
      </c>
    </row>
    <row r="30" spans="1:5" x14ac:dyDescent="0.3">
      <c r="A30" s="10">
        <v>24</v>
      </c>
      <c r="B30" s="14" t="s">
        <v>34</v>
      </c>
      <c r="C30" s="132">
        <v>2076.6</v>
      </c>
      <c r="D30" s="132">
        <f t="shared" si="0"/>
        <v>2076.6</v>
      </c>
      <c r="E30" s="132">
        <f t="shared" si="1"/>
        <v>2076.6</v>
      </c>
    </row>
    <row r="31" spans="1:5" x14ac:dyDescent="0.3">
      <c r="A31" s="10">
        <v>25</v>
      </c>
      <c r="B31" s="14" t="s">
        <v>35</v>
      </c>
      <c r="C31" s="132">
        <v>1383</v>
      </c>
      <c r="D31" s="132">
        <f t="shared" si="0"/>
        <v>1383</v>
      </c>
      <c r="E31" s="132">
        <f t="shared" si="1"/>
        <v>1383</v>
      </c>
    </row>
    <row r="32" spans="1:5" x14ac:dyDescent="0.3">
      <c r="A32" s="10">
        <v>26</v>
      </c>
      <c r="B32" s="14" t="s">
        <v>36</v>
      </c>
      <c r="C32" s="132">
        <v>1757.3</v>
      </c>
      <c r="D32" s="132">
        <f t="shared" si="0"/>
        <v>1757.3</v>
      </c>
      <c r="E32" s="132">
        <f t="shared" si="1"/>
        <v>1757.3</v>
      </c>
    </row>
    <row r="33" spans="1:5" x14ac:dyDescent="0.3">
      <c r="A33" s="10">
        <v>27</v>
      </c>
      <c r="B33" s="14" t="s">
        <v>37</v>
      </c>
      <c r="C33" s="132">
        <v>2054.4</v>
      </c>
      <c r="D33" s="132">
        <f t="shared" si="0"/>
        <v>2054.4</v>
      </c>
      <c r="E33" s="132">
        <f t="shared" si="1"/>
        <v>2054.4</v>
      </c>
    </row>
    <row r="34" spans="1:5" x14ac:dyDescent="0.3">
      <c r="A34" s="10">
        <v>28</v>
      </c>
      <c r="B34" s="14" t="s">
        <v>38</v>
      </c>
      <c r="C34" s="132">
        <v>1769.1</v>
      </c>
      <c r="D34" s="132">
        <f t="shared" si="0"/>
        <v>1769.1</v>
      </c>
      <c r="E34" s="132">
        <f t="shared" si="1"/>
        <v>1769.1</v>
      </c>
    </row>
    <row r="35" spans="1:5" x14ac:dyDescent="0.3">
      <c r="A35" s="10">
        <v>29</v>
      </c>
      <c r="B35" s="14" t="s">
        <v>39</v>
      </c>
      <c r="C35" s="132">
        <v>4442</v>
      </c>
      <c r="D35" s="132">
        <f t="shared" si="0"/>
        <v>4442</v>
      </c>
      <c r="E35" s="132">
        <f t="shared" si="1"/>
        <v>4442</v>
      </c>
    </row>
    <row r="36" spans="1:5" x14ac:dyDescent="0.3">
      <c r="A36" s="10">
        <v>30</v>
      </c>
      <c r="B36" s="14" t="s">
        <v>40</v>
      </c>
      <c r="C36" s="132">
        <v>2103.3000000000002</v>
      </c>
      <c r="D36" s="132">
        <f t="shared" si="0"/>
        <v>2103.3000000000002</v>
      </c>
      <c r="E36" s="132">
        <f t="shared" si="1"/>
        <v>2103.3000000000002</v>
      </c>
    </row>
    <row r="37" spans="1:5" x14ac:dyDescent="0.3">
      <c r="A37" s="10">
        <v>31</v>
      </c>
      <c r="B37" s="14" t="s">
        <v>41</v>
      </c>
      <c r="C37" s="132">
        <v>700.2</v>
      </c>
      <c r="D37" s="132">
        <f t="shared" si="0"/>
        <v>700.2</v>
      </c>
      <c r="E37" s="132">
        <f t="shared" si="1"/>
        <v>700.2</v>
      </c>
    </row>
    <row r="38" spans="1:5" x14ac:dyDescent="0.3">
      <c r="A38" s="10">
        <v>32</v>
      </c>
      <c r="B38" s="14" t="s">
        <v>42</v>
      </c>
      <c r="C38" s="132">
        <v>1043.4000000000001</v>
      </c>
      <c r="D38" s="132">
        <f t="shared" si="0"/>
        <v>1043.4000000000001</v>
      </c>
      <c r="E38" s="132">
        <f t="shared" si="1"/>
        <v>1043.4000000000001</v>
      </c>
    </row>
    <row r="39" spans="1:5" x14ac:dyDescent="0.3">
      <c r="A39" s="10">
        <v>33</v>
      </c>
      <c r="B39" s="14" t="s">
        <v>43</v>
      </c>
      <c r="C39" s="132">
        <v>2630.3</v>
      </c>
      <c r="D39" s="132">
        <f t="shared" si="0"/>
        <v>2630.3</v>
      </c>
      <c r="E39" s="132">
        <f t="shared" si="1"/>
        <v>2630.3</v>
      </c>
    </row>
    <row r="40" spans="1:5" x14ac:dyDescent="0.3">
      <c r="A40" s="10">
        <v>34</v>
      </c>
      <c r="B40" s="14" t="s">
        <v>44</v>
      </c>
      <c r="C40" s="132">
        <v>4852.3</v>
      </c>
      <c r="D40" s="132">
        <f t="shared" si="0"/>
        <v>4852.3</v>
      </c>
      <c r="E40" s="132">
        <f t="shared" si="1"/>
        <v>4852.3</v>
      </c>
    </row>
    <row r="41" spans="1:5" x14ac:dyDescent="0.3">
      <c r="A41" s="10">
        <v>35</v>
      </c>
      <c r="B41" s="14" t="s">
        <v>45</v>
      </c>
      <c r="C41" s="132">
        <v>2200</v>
      </c>
      <c r="D41" s="132">
        <f t="shared" si="0"/>
        <v>2200</v>
      </c>
      <c r="E41" s="132">
        <f t="shared" si="1"/>
        <v>2200</v>
      </c>
    </row>
    <row r="42" spans="1:5" x14ac:dyDescent="0.3">
      <c r="A42" s="10">
        <v>36</v>
      </c>
      <c r="B42" s="14" t="s">
        <v>46</v>
      </c>
      <c r="C42" s="132">
        <v>1478</v>
      </c>
      <c r="D42" s="132">
        <f t="shared" si="0"/>
        <v>1478</v>
      </c>
      <c r="E42" s="132">
        <f t="shared" si="1"/>
        <v>1478</v>
      </c>
    </row>
    <row r="43" spans="1:5" x14ac:dyDescent="0.3">
      <c r="A43" s="134"/>
      <c r="B43" s="135" t="s">
        <v>49</v>
      </c>
      <c r="C43" s="136">
        <f>SUM(C7:C42)</f>
        <v>77075</v>
      </c>
      <c r="D43" s="136">
        <f>SUM(D7:D42)</f>
        <v>77075</v>
      </c>
      <c r="E43" s="136">
        <f>SUM(E7:E42)</f>
        <v>77075</v>
      </c>
    </row>
    <row r="44" spans="1:5" ht="64.5" customHeight="1" x14ac:dyDescent="0.3">
      <c r="A44" s="459"/>
      <c r="B44" s="459"/>
      <c r="D44" s="460"/>
      <c r="E44" s="460"/>
    </row>
    <row r="45" spans="1:5" hidden="1" x14ac:dyDescent="0.3"/>
    <row r="46" spans="1:5" x14ac:dyDescent="0.3">
      <c r="A46" s="461"/>
      <c r="B46" s="461"/>
      <c r="C46" s="130"/>
    </row>
  </sheetData>
  <mergeCells count="10">
    <mergeCell ref="A44:B44"/>
    <mergeCell ref="D44:E44"/>
    <mergeCell ref="A46:B46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80" fitToHeight="0" orientation="portrait" r:id="rId1"/>
  <headerFooter alignWithMargins="0">
    <oddHeader>&amp;C&amp;"Times New Roman,обычный"&amp;12&amp;P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45</vt:i4>
      </vt:variant>
    </vt:vector>
  </HeadingPairs>
  <TitlesOfParts>
    <vt:vector size="83" baseType="lpstr">
      <vt:lpstr>1 вырав.район 21г</vt:lpstr>
      <vt:lpstr>2 вырав.район 22г.</vt:lpstr>
      <vt:lpstr>3 вырав.район 23г.</vt:lpstr>
      <vt:lpstr>4 вырав.поселения</vt:lpstr>
      <vt:lpstr>5 ЗАТО</vt:lpstr>
      <vt:lpstr>6 сбалансир.1ч.</vt:lpstr>
      <vt:lpstr>7 газеты</vt:lpstr>
      <vt:lpstr>8 историч. посел.</vt:lpstr>
      <vt:lpstr>9 подвоз уч-ся</vt:lpstr>
      <vt:lpstr>10 гор.питание</vt:lpstr>
      <vt:lpstr>11 з-п пед. раб.</vt:lpstr>
      <vt:lpstr>12 каникул. время</vt:lpstr>
      <vt:lpstr>13 соц.проекты</vt:lpstr>
      <vt:lpstr>14 перевозки</vt:lpstr>
      <vt:lpstr>15 водный трансп.</vt:lpstr>
      <vt:lpstr>16 воинск.славы</vt:lpstr>
      <vt:lpstr>17 ремонт дорог</vt:lpstr>
      <vt:lpstr>18 ремонт дворовых тер.</vt:lpstr>
      <vt:lpstr>19 безопасн.дор.движ</vt:lpstr>
      <vt:lpstr>20 з-п раб.культуры</vt:lpstr>
      <vt:lpstr>21 кадастр.работы</vt:lpstr>
      <vt:lpstr>22 ремонт гитех.сооруж.</vt:lpstr>
      <vt:lpstr>23 дошкол.</vt:lpstr>
      <vt:lpstr>24 общее образ.</vt:lpstr>
      <vt:lpstr>25 классное руков.</vt:lpstr>
      <vt:lpstr>26 несовершеннолет.</vt:lpstr>
      <vt:lpstr>27 родит.плата</vt:lpstr>
      <vt:lpstr>28 дорож.деятельность</vt:lpstr>
      <vt:lpstr>29 перепись</vt:lpstr>
      <vt:lpstr>30 комп.ЖКУ пед.раб.</vt:lpstr>
      <vt:lpstr>31 жилье сиротам</vt:lpstr>
      <vt:lpstr>32 адм.комис.</vt:lpstr>
      <vt:lpstr>33 присяжные засед.</vt:lpstr>
      <vt:lpstr>34 воинский учет</vt:lpstr>
      <vt:lpstr>35 ЗАГС</vt:lpstr>
      <vt:lpstr>36 агломерации</vt:lpstr>
      <vt:lpstr>37 интелект.трансп.системы</vt:lpstr>
      <vt:lpstr>38 статус г .Твери</vt:lpstr>
      <vt:lpstr>'19 безопасн.дор.движ'!Заголовки_для_печати</vt:lpstr>
      <vt:lpstr>'22 ремонт гитех.сооруж.'!Заголовки_для_печати</vt:lpstr>
      <vt:lpstr>'23 дошкол.'!Заголовки_для_печати</vt:lpstr>
      <vt:lpstr>'24 общее образ.'!Заголовки_для_печати</vt:lpstr>
      <vt:lpstr>'26 несовершеннолет.'!Заголовки_для_печати</vt:lpstr>
      <vt:lpstr>'27 родит.плата'!Заголовки_для_печати</vt:lpstr>
      <vt:lpstr>'28 дорож.деятельность'!Заголовки_для_печати</vt:lpstr>
      <vt:lpstr>'29 перепись'!Заголовки_для_печати</vt:lpstr>
      <vt:lpstr>'30 комп.ЖКУ пед.раб.'!Заголовки_для_печати</vt:lpstr>
      <vt:lpstr>'31 жилье сиротам'!Заголовки_для_печати</vt:lpstr>
      <vt:lpstr>'32 адм.комис.'!Заголовки_для_печати</vt:lpstr>
      <vt:lpstr>'34 воинский учет'!Заголовки_для_печати</vt:lpstr>
      <vt:lpstr>'4 вырав.поселения'!Заголовки_для_печати</vt:lpstr>
      <vt:lpstr>'6 сбалансир.1ч.'!Заголовки_для_печати</vt:lpstr>
      <vt:lpstr>'1 вырав.район 21г'!Область_печати</vt:lpstr>
      <vt:lpstr>'10 гор.питание'!Область_печати</vt:lpstr>
      <vt:lpstr>'11 з-п пед. раб.'!Область_печати</vt:lpstr>
      <vt:lpstr>'12 каникул. время'!Область_печати</vt:lpstr>
      <vt:lpstr>'13 соц.проекты'!Область_печати</vt:lpstr>
      <vt:lpstr>'14 перевозки'!Область_печати</vt:lpstr>
      <vt:lpstr>'16 воинск.славы'!Область_печати</vt:lpstr>
      <vt:lpstr>'2 вырав.район 22г.'!Область_печати</vt:lpstr>
      <vt:lpstr>'20 з-п раб.культуры'!Область_печати</vt:lpstr>
      <vt:lpstr>'21 кадастр.работы'!Область_печати</vt:lpstr>
      <vt:lpstr>'22 ремонт гитех.сооруж.'!Область_печати</vt:lpstr>
      <vt:lpstr>'23 дошкол.'!Область_печати</vt:lpstr>
      <vt:lpstr>'24 общее образ.'!Область_печати</vt:lpstr>
      <vt:lpstr>'25 классное руков.'!Область_печати</vt:lpstr>
      <vt:lpstr>'27 родит.плата'!Область_печати</vt:lpstr>
      <vt:lpstr>'28 дорож.деятельность'!Область_печати</vt:lpstr>
      <vt:lpstr>'29 перепись'!Область_печати</vt:lpstr>
      <vt:lpstr>'3 вырав.район 23г.'!Область_печати</vt:lpstr>
      <vt:lpstr>'31 жилье сиротам'!Область_печати</vt:lpstr>
      <vt:lpstr>'32 адм.комис.'!Область_печати</vt:lpstr>
      <vt:lpstr>'33 присяжные засед.'!Область_печати</vt:lpstr>
      <vt:lpstr>'34 воинский учет'!Область_печати</vt:lpstr>
      <vt:lpstr>'35 ЗАГС'!Область_печати</vt:lpstr>
      <vt:lpstr>'36 агломерации'!Область_печати</vt:lpstr>
      <vt:lpstr>'37 интелект.трансп.системы'!Область_печати</vt:lpstr>
      <vt:lpstr>'38 статус г .Твери'!Область_печати</vt:lpstr>
      <vt:lpstr>'4 вырав.поселения'!Область_печати</vt:lpstr>
      <vt:lpstr>'6 сбалансир.1ч.'!Область_печати</vt:lpstr>
      <vt:lpstr>'7 газеты'!Область_печати</vt:lpstr>
      <vt:lpstr>'8 историч. посел.'!Область_печати</vt:lpstr>
      <vt:lpstr>'9 подвоз уч-ся'!Область_печати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2020-12-08T06:48:27Z</dcterms:modified>
</cp:coreProperties>
</file>